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 activeTab="1"/>
  </bookViews>
  <sheets>
    <sheet name="Zał. nr 1" sheetId="1" r:id="rId1"/>
    <sheet name="Zał. nr 2" sheetId="2" r:id="rId2"/>
    <sheet name="Zał. nr 3 prognoza długu" sheetId="3" r:id="rId3"/>
  </sheets>
  <definedNames>
    <definedName name="Excel_BuiltIn_Print_Titles_2">#REF!</definedName>
    <definedName name="Excel_BuiltIn_Print_Titles_2_1">#REF!</definedName>
    <definedName name="Excel_BuiltIn_Print_Titles_2_1_1">#REF!</definedName>
    <definedName name="Excel_BuiltIn_Print_Titles_3_1">#REF!</definedName>
    <definedName name="Excel_BuiltIn_Print_Titles_3_1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6_1">#REF!</definedName>
    <definedName name="Excel_BuiltIn_Print_Titles_8">#REF!</definedName>
    <definedName name="Excel_BuiltIn_Print_Titles_8_1">#REF!</definedName>
    <definedName name="_xlnm.Print_Titles" localSheetId="0">'Zał. nr 1'!$4:$4</definedName>
    <definedName name="_xlnm.Print_Titles" localSheetId="1">'Zał. nr 2'!$4:$4</definedName>
    <definedName name="_xlnm.Print_Titles" localSheetId="2">'Zał. nr 3 prognoza długu'!$A:$B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J391" i="2" l="1"/>
  <c r="P36" i="3" l="1"/>
  <c r="E233" i="1" l="1"/>
  <c r="G239" i="1"/>
  <c r="F239" i="1"/>
  <c r="H239" i="1"/>
  <c r="I239" i="1"/>
  <c r="E239" i="1"/>
  <c r="J7" i="1" l="1"/>
  <c r="BA52" i="3" l="1"/>
  <c r="N50" i="3"/>
  <c r="R44" i="3"/>
  <c r="R50" i="3" s="1"/>
  <c r="O44" i="3"/>
  <c r="O50" i="3" s="1"/>
  <c r="N44" i="3"/>
  <c r="Q43" i="3"/>
  <c r="S43" i="3" s="1"/>
  <c r="S44" i="3" s="1"/>
  <c r="S50" i="3" s="1"/>
  <c r="W41" i="3"/>
  <c r="S41" i="3"/>
  <c r="Q41" i="3"/>
  <c r="P40" i="3"/>
  <c r="L40" i="3"/>
  <c r="L49" i="3" s="1"/>
  <c r="AZ38" i="3"/>
  <c r="AX38" i="3"/>
  <c r="AR38" i="3"/>
  <c r="AP38" i="3"/>
  <c r="AP39" i="3" s="1"/>
  <c r="AN38" i="3"/>
  <c r="AL38" i="3"/>
  <c r="AJ38" i="3"/>
  <c r="AH38" i="3"/>
  <c r="AF38" i="3"/>
  <c r="AF39" i="3" s="1"/>
  <c r="AD38" i="3"/>
  <c r="AB38" i="3"/>
  <c r="AB39" i="3" s="1"/>
  <c r="Z38" i="3"/>
  <c r="X38" i="3"/>
  <c r="V38" i="3"/>
  <c r="U38" i="3"/>
  <c r="U41" i="3" s="1"/>
  <c r="T38" i="3"/>
  <c r="R38" i="3"/>
  <c r="R39" i="3" s="1"/>
  <c r="O38" i="3"/>
  <c r="K38" i="3"/>
  <c r="K41" i="3" s="1"/>
  <c r="K51" i="3" s="1"/>
  <c r="G38" i="3"/>
  <c r="E38" i="3"/>
  <c r="E41" i="3" s="1"/>
  <c r="E51" i="3" s="1"/>
  <c r="BA37" i="3"/>
  <c r="BA39" i="3" s="1"/>
  <c r="AZ37" i="3"/>
  <c r="AZ40" i="3" s="1"/>
  <c r="AY37" i="3"/>
  <c r="AY39" i="3" s="1"/>
  <c r="AX37" i="3"/>
  <c r="AX39" i="3" s="1"/>
  <c r="AW37" i="3"/>
  <c r="AW39" i="3" s="1"/>
  <c r="AR37" i="3"/>
  <c r="AN37" i="3"/>
  <c r="AN39" i="3" s="1"/>
  <c r="AL37" i="3"/>
  <c r="AJ37" i="3"/>
  <c r="AJ39" i="3" s="1"/>
  <c r="AH37" i="3"/>
  <c r="AD37" i="3"/>
  <c r="Z37" i="3"/>
  <c r="X37" i="3"/>
  <c r="X39" i="3" s="1"/>
  <c r="V37" i="3"/>
  <c r="T37" i="3"/>
  <c r="P37" i="3"/>
  <c r="O37" i="3"/>
  <c r="K37" i="3"/>
  <c r="K39" i="3" s="1"/>
  <c r="H37" i="3"/>
  <c r="H39" i="3" s="1"/>
  <c r="G37" i="3"/>
  <c r="F37" i="3"/>
  <c r="F39" i="3" s="1"/>
  <c r="E37" i="3"/>
  <c r="E39" i="3" s="1"/>
  <c r="BA36" i="3"/>
  <c r="AZ36" i="3"/>
  <c r="AY36" i="3"/>
  <c r="AX36" i="3"/>
  <c r="AW36" i="3"/>
  <c r="AT36" i="3"/>
  <c r="AR36" i="3"/>
  <c r="AP36" i="3"/>
  <c r="AN36" i="3"/>
  <c r="AL36" i="3"/>
  <c r="AJ36" i="3"/>
  <c r="AH36" i="3"/>
  <c r="AF36" i="3"/>
  <c r="AD36" i="3"/>
  <c r="AB36" i="3"/>
  <c r="Z36" i="3"/>
  <c r="X36" i="3"/>
  <c r="V36" i="3"/>
  <c r="T36" i="3"/>
  <c r="R36" i="3"/>
  <c r="N35" i="3"/>
  <c r="M35" i="3"/>
  <c r="M38" i="3" s="1"/>
  <c r="L35" i="3"/>
  <c r="L38" i="3" s="1"/>
  <c r="L39" i="3" s="1"/>
  <c r="Q31" i="3"/>
  <c r="S31" i="3" s="1"/>
  <c r="S37" i="3" s="1"/>
  <c r="G31" i="3"/>
  <c r="E31" i="3"/>
  <c r="K30" i="3"/>
  <c r="K31" i="3" s="1"/>
  <c r="BA29" i="3"/>
  <c r="AZ29" i="3"/>
  <c r="AZ41" i="3" s="1"/>
  <c r="AZ51" i="3" s="1"/>
  <c r="AY29" i="3"/>
  <c r="AY41" i="3" s="1"/>
  <c r="AX29" i="3"/>
  <c r="AW29" i="3"/>
  <c r="AW41" i="3" s="1"/>
  <c r="AV29" i="3"/>
  <c r="AV41" i="3" s="1"/>
  <c r="AV51" i="3" s="1"/>
  <c r="AU29" i="3"/>
  <c r="AU41" i="3" s="1"/>
  <c r="AT29" i="3"/>
  <c r="AT41" i="3" s="1"/>
  <c r="AT51" i="3" s="1"/>
  <c r="AS29" i="3"/>
  <c r="AS41" i="3" s="1"/>
  <c r="AR29" i="3"/>
  <c r="AR41" i="3" s="1"/>
  <c r="AR51" i="3" s="1"/>
  <c r="AQ29" i="3"/>
  <c r="AQ41" i="3" s="1"/>
  <c r="AP29" i="3"/>
  <c r="AO29" i="3"/>
  <c r="AO41" i="3" s="1"/>
  <c r="AN29" i="3"/>
  <c r="AN41" i="3" s="1"/>
  <c r="AN51" i="3" s="1"/>
  <c r="AM29" i="3"/>
  <c r="AM41" i="3" s="1"/>
  <c r="AL29" i="3"/>
  <c r="AK29" i="3"/>
  <c r="AK41" i="3" s="1"/>
  <c r="AJ29" i="3"/>
  <c r="AJ41" i="3" s="1"/>
  <c r="AJ51" i="3" s="1"/>
  <c r="AI29" i="3"/>
  <c r="AI41" i="3" s="1"/>
  <c r="AH29" i="3"/>
  <c r="AG29" i="3"/>
  <c r="AG41" i="3" s="1"/>
  <c r="AF29" i="3"/>
  <c r="AF41" i="3" s="1"/>
  <c r="AF51" i="3" s="1"/>
  <c r="AE29" i="3"/>
  <c r="AE41" i="3" s="1"/>
  <c r="AD29" i="3"/>
  <c r="AC29" i="3"/>
  <c r="AC41" i="3" s="1"/>
  <c r="AB29" i="3"/>
  <c r="AB41" i="3" s="1"/>
  <c r="AB51" i="3" s="1"/>
  <c r="AA29" i="3"/>
  <c r="AA41" i="3" s="1"/>
  <c r="Z29" i="3"/>
  <c r="Y29" i="3"/>
  <c r="Y41" i="3" s="1"/>
  <c r="X29" i="3"/>
  <c r="X41" i="3" s="1"/>
  <c r="X51" i="3" s="1"/>
  <c r="T29" i="3"/>
  <c r="T41" i="3" s="1"/>
  <c r="T51" i="3" s="1"/>
  <c r="R29" i="3"/>
  <c r="R41" i="3" s="1"/>
  <c r="R51" i="3" s="1"/>
  <c r="M29" i="3"/>
  <c r="H29" i="3"/>
  <c r="F29" i="3"/>
  <c r="F31" i="3" s="1"/>
  <c r="AZ28" i="3"/>
  <c r="AX28" i="3"/>
  <c r="AX40" i="3" s="1"/>
  <c r="AX49" i="3" s="1"/>
  <c r="AV28" i="3"/>
  <c r="AT28" i="3"/>
  <c r="AR28" i="3"/>
  <c r="AP28" i="3"/>
  <c r="AN28" i="3"/>
  <c r="AL28" i="3"/>
  <c r="AJ28" i="3"/>
  <c r="AJ30" i="3" s="1"/>
  <c r="AH28" i="3"/>
  <c r="AH30" i="3" s="1"/>
  <c r="AF28" i="3"/>
  <c r="AF40" i="3" s="1"/>
  <c r="AD28" i="3"/>
  <c r="AD30" i="3" s="1"/>
  <c r="AB28" i="3"/>
  <c r="AB40" i="3" s="1"/>
  <c r="Z28" i="3"/>
  <c r="Z30" i="3" s="1"/>
  <c r="X28" i="3"/>
  <c r="X30" i="3" s="1"/>
  <c r="V28" i="3"/>
  <c r="T28" i="3"/>
  <c r="R28" i="3"/>
  <c r="R40" i="3" s="1"/>
  <c r="R49" i="3" s="1"/>
  <c r="N28" i="3"/>
  <c r="N40" i="3" s="1"/>
  <c r="K28" i="3"/>
  <c r="K40" i="3" s="1"/>
  <c r="J28" i="3"/>
  <c r="J40" i="3" s="1"/>
  <c r="J49" i="3" s="1"/>
  <c r="J52" i="3" s="1"/>
  <c r="G28" i="3"/>
  <c r="E28" i="3"/>
  <c r="E40" i="3" s="1"/>
  <c r="E49" i="3" s="1"/>
  <c r="E52" i="3" s="1"/>
  <c r="D28" i="3"/>
  <c r="D40" i="3" s="1"/>
  <c r="BA27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F27" i="3"/>
  <c r="AD27" i="3"/>
  <c r="AB27" i="3"/>
  <c r="Z27" i="3"/>
  <c r="X27" i="3"/>
  <c r="T27" i="3"/>
  <c r="R27" i="3"/>
  <c r="O27" i="3"/>
  <c r="V26" i="3"/>
  <c r="V29" i="3" s="1"/>
  <c r="V41" i="3" s="1"/>
  <c r="V51" i="3" s="1"/>
  <c r="N26" i="3"/>
  <c r="Q25" i="3"/>
  <c r="Q27" i="3" s="1"/>
  <c r="AZ24" i="3"/>
  <c r="AX24" i="3"/>
  <c r="AV24" i="3"/>
  <c r="AT24" i="3"/>
  <c r="AR24" i="3"/>
  <c r="AP24" i="3"/>
  <c r="AN24" i="3"/>
  <c r="AL24" i="3"/>
  <c r="AJ24" i="3"/>
  <c r="AH24" i="3"/>
  <c r="AF24" i="3"/>
  <c r="AD24" i="3"/>
  <c r="AB24" i="3"/>
  <c r="Z24" i="3"/>
  <c r="X24" i="3"/>
  <c r="V24" i="3"/>
  <c r="T24" i="3"/>
  <c r="R24" i="3"/>
  <c r="Q22" i="3"/>
  <c r="S22" i="3" s="1"/>
  <c r="S24" i="3" s="1"/>
  <c r="O22" i="3"/>
  <c r="O28" i="3" s="1"/>
  <c r="AF21" i="3"/>
  <c r="AD21" i="3"/>
  <c r="AB21" i="3"/>
  <c r="Z21" i="3"/>
  <c r="X21" i="3"/>
  <c r="V21" i="3"/>
  <c r="T21" i="3"/>
  <c r="R21" i="3"/>
  <c r="K21" i="3"/>
  <c r="H21" i="3"/>
  <c r="G21" i="3"/>
  <c r="F21" i="3"/>
  <c r="E21" i="3"/>
  <c r="O20" i="3"/>
  <c r="O21" i="3" s="1"/>
  <c r="N20" i="3"/>
  <c r="U19" i="3"/>
  <c r="W19" i="3" s="1"/>
  <c r="W21" i="3" s="1"/>
  <c r="Q19" i="3"/>
  <c r="S19" i="3" s="1"/>
  <c r="S21" i="3" s="1"/>
  <c r="L19" i="3"/>
  <c r="M19" i="3" s="1"/>
  <c r="M21" i="3" s="1"/>
  <c r="AB15" i="3"/>
  <c r="Z15" i="3"/>
  <c r="X15" i="3"/>
  <c r="V15" i="3"/>
  <c r="T15" i="3"/>
  <c r="R15" i="3"/>
  <c r="G15" i="3"/>
  <c r="E15" i="3"/>
  <c r="O14" i="3"/>
  <c r="O15" i="3" s="1"/>
  <c r="K14" i="3"/>
  <c r="K15" i="3" s="1"/>
  <c r="Q13" i="3"/>
  <c r="M13" i="3"/>
  <c r="M15" i="3" s="1"/>
  <c r="H13" i="3"/>
  <c r="F13" i="3"/>
  <c r="F15" i="3" s="1"/>
  <c r="O12" i="3"/>
  <c r="K12" i="3"/>
  <c r="G12" i="3"/>
  <c r="E12" i="3"/>
  <c r="N11" i="3"/>
  <c r="J11" i="3"/>
  <c r="D11" i="3"/>
  <c r="Q10" i="3"/>
  <c r="Q12" i="3" s="1"/>
  <c r="M10" i="3"/>
  <c r="M12" i="3" s="1"/>
  <c r="H10" i="3"/>
  <c r="F10" i="3"/>
  <c r="F12" i="3" s="1"/>
  <c r="AD9" i="3"/>
  <c r="Z9" i="3"/>
  <c r="X9" i="3"/>
  <c r="V9" i="3"/>
  <c r="T9" i="3"/>
  <c r="R9" i="3"/>
  <c r="M9" i="3"/>
  <c r="K9" i="3"/>
  <c r="G9" i="3"/>
  <c r="E9" i="3"/>
  <c r="O8" i="3"/>
  <c r="O9" i="3" s="1"/>
  <c r="N8" i="3"/>
  <c r="J8" i="3"/>
  <c r="D8" i="3"/>
  <c r="Q7" i="3"/>
  <c r="S7" i="3" s="1"/>
  <c r="S9" i="3" s="1"/>
  <c r="M7" i="3"/>
  <c r="H7" i="3"/>
  <c r="F7" i="3"/>
  <c r="F9" i="3" s="1"/>
  <c r="AD6" i="3"/>
  <c r="X6" i="3"/>
  <c r="V6" i="3"/>
  <c r="T6" i="3"/>
  <c r="R6" i="3"/>
  <c r="K6" i="3"/>
  <c r="G6" i="3"/>
  <c r="E6" i="3"/>
  <c r="O5" i="3"/>
  <c r="O29" i="3" s="1"/>
  <c r="N5" i="3"/>
  <c r="J5" i="3"/>
  <c r="D5" i="3"/>
  <c r="Q4" i="3"/>
  <c r="Q6" i="3" s="1"/>
  <c r="M4" i="3"/>
  <c r="H4" i="3"/>
  <c r="H6" i="3" s="1"/>
  <c r="F4" i="3"/>
  <c r="F6" i="3" s="1"/>
  <c r="AE679" i="2"/>
  <c r="AD679" i="2"/>
  <c r="AC679" i="2"/>
  <c r="AB679" i="2"/>
  <c r="AA679" i="2"/>
  <c r="Z679" i="2"/>
  <c r="Y679" i="2"/>
  <c r="X679" i="2"/>
  <c r="W679" i="2"/>
  <c r="V679" i="2"/>
  <c r="U679" i="2"/>
  <c r="S679" i="2"/>
  <c r="R679" i="2"/>
  <c r="Q679" i="2"/>
  <c r="P679" i="2"/>
  <c r="O679" i="2"/>
  <c r="N679" i="2"/>
  <c r="M679" i="2"/>
  <c r="H679" i="2"/>
  <c r="F679" i="2"/>
  <c r="E679" i="2"/>
  <c r="AE677" i="2"/>
  <c r="AD677" i="2"/>
  <c r="AC677" i="2"/>
  <c r="AB677" i="2"/>
  <c r="AA677" i="2"/>
  <c r="Z677" i="2"/>
  <c r="Y677" i="2"/>
  <c r="X677" i="2"/>
  <c r="W677" i="2"/>
  <c r="V677" i="2"/>
  <c r="U677" i="2"/>
  <c r="S677" i="2"/>
  <c r="R677" i="2"/>
  <c r="Q677" i="2"/>
  <c r="P677" i="2"/>
  <c r="O677" i="2"/>
  <c r="M677" i="2"/>
  <c r="F677" i="2"/>
  <c r="E677" i="2"/>
  <c r="G677" i="2" s="1"/>
  <c r="AE676" i="2"/>
  <c r="AD676" i="2"/>
  <c r="AC676" i="2"/>
  <c r="AB676" i="2"/>
  <c r="AA676" i="2"/>
  <c r="Z676" i="2"/>
  <c r="Y676" i="2"/>
  <c r="X676" i="2"/>
  <c r="W676" i="2"/>
  <c r="V676" i="2"/>
  <c r="U676" i="2"/>
  <c r="S676" i="2"/>
  <c r="R676" i="2"/>
  <c r="Q676" i="2"/>
  <c r="P676" i="2"/>
  <c r="O676" i="2"/>
  <c r="N676" i="2"/>
  <c r="M676" i="2"/>
  <c r="I676" i="2"/>
  <c r="H676" i="2"/>
  <c r="F676" i="2"/>
  <c r="E676" i="2"/>
  <c r="AE675" i="2"/>
  <c r="AD675" i="2"/>
  <c r="AC675" i="2"/>
  <c r="AB675" i="2"/>
  <c r="AA675" i="2"/>
  <c r="Z675" i="2"/>
  <c r="Y675" i="2"/>
  <c r="X675" i="2"/>
  <c r="W675" i="2"/>
  <c r="V675" i="2"/>
  <c r="U675" i="2"/>
  <c r="S675" i="2"/>
  <c r="S672" i="2" s="1"/>
  <c r="R675" i="2"/>
  <c r="Q675" i="2"/>
  <c r="P675" i="2"/>
  <c r="O675" i="2"/>
  <c r="N675" i="2"/>
  <c r="M675" i="2"/>
  <c r="H675" i="2"/>
  <c r="F675" i="2"/>
  <c r="E675" i="2"/>
  <c r="AE674" i="2"/>
  <c r="AD674" i="2"/>
  <c r="AC674" i="2"/>
  <c r="AB674" i="2"/>
  <c r="AA674" i="2"/>
  <c r="Z674" i="2"/>
  <c r="Y674" i="2"/>
  <c r="X674" i="2"/>
  <c r="W674" i="2"/>
  <c r="V674" i="2"/>
  <c r="U674" i="2"/>
  <c r="S674" i="2"/>
  <c r="R674" i="2"/>
  <c r="Q674" i="2"/>
  <c r="P674" i="2"/>
  <c r="O674" i="2"/>
  <c r="N674" i="2"/>
  <c r="M674" i="2"/>
  <c r="H674" i="2"/>
  <c r="F674" i="2"/>
  <c r="E674" i="2"/>
  <c r="AE671" i="2"/>
  <c r="AD671" i="2"/>
  <c r="AC671" i="2"/>
  <c r="AB671" i="2"/>
  <c r="AA671" i="2"/>
  <c r="Z671" i="2"/>
  <c r="Y671" i="2"/>
  <c r="X671" i="2"/>
  <c r="W671" i="2"/>
  <c r="V671" i="2"/>
  <c r="U671" i="2"/>
  <c r="S671" i="2"/>
  <c r="R671" i="2"/>
  <c r="Q671" i="2"/>
  <c r="P671" i="2"/>
  <c r="O671" i="2"/>
  <c r="N671" i="2"/>
  <c r="M671" i="2"/>
  <c r="H671" i="2"/>
  <c r="F671" i="2"/>
  <c r="E671" i="2"/>
  <c r="AE670" i="2"/>
  <c r="AD670" i="2"/>
  <c r="AC670" i="2"/>
  <c r="AB670" i="2"/>
  <c r="AA670" i="2"/>
  <c r="Z670" i="2"/>
  <c r="Y670" i="2"/>
  <c r="X670" i="2"/>
  <c r="W670" i="2"/>
  <c r="V670" i="2"/>
  <c r="U670" i="2"/>
  <c r="S670" i="2"/>
  <c r="R670" i="2"/>
  <c r="Q670" i="2"/>
  <c r="P670" i="2"/>
  <c r="O670" i="2"/>
  <c r="N670" i="2"/>
  <c r="M670" i="2"/>
  <c r="H670" i="2"/>
  <c r="F670" i="2"/>
  <c r="E670" i="2"/>
  <c r="AE669" i="2"/>
  <c r="AD669" i="2"/>
  <c r="AC669" i="2"/>
  <c r="AB669" i="2"/>
  <c r="AA669" i="2"/>
  <c r="Z669" i="2"/>
  <c r="Y669" i="2"/>
  <c r="X669" i="2"/>
  <c r="W669" i="2"/>
  <c r="V669" i="2"/>
  <c r="U669" i="2"/>
  <c r="S669" i="2"/>
  <c r="R669" i="2"/>
  <c r="Q669" i="2"/>
  <c r="P669" i="2"/>
  <c r="O669" i="2"/>
  <c r="N669" i="2"/>
  <c r="M669" i="2"/>
  <c r="H669" i="2"/>
  <c r="F669" i="2"/>
  <c r="E669" i="2"/>
  <c r="AE668" i="2"/>
  <c r="AD668" i="2"/>
  <c r="AC668" i="2"/>
  <c r="AC666" i="2" s="1"/>
  <c r="AB668" i="2"/>
  <c r="AB666" i="2" s="1"/>
  <c r="AA668" i="2"/>
  <c r="Z668" i="2"/>
  <c r="Y668" i="2"/>
  <c r="Y666" i="2" s="1"/>
  <c r="X668" i="2"/>
  <c r="X666" i="2" s="1"/>
  <c r="W668" i="2"/>
  <c r="V668" i="2"/>
  <c r="U668" i="2"/>
  <c r="U666" i="2" s="1"/>
  <c r="S668" i="2"/>
  <c r="S666" i="2" s="1"/>
  <c r="R668" i="2"/>
  <c r="Q668" i="2"/>
  <c r="Q666" i="2" s="1"/>
  <c r="O668" i="2"/>
  <c r="O666" i="2" s="1"/>
  <c r="N668" i="2"/>
  <c r="M668" i="2"/>
  <c r="M666" i="2" s="1"/>
  <c r="H668" i="2"/>
  <c r="F668" i="2"/>
  <c r="G668" i="2" s="1"/>
  <c r="E668" i="2"/>
  <c r="AD666" i="2"/>
  <c r="Z666" i="2"/>
  <c r="V666" i="2"/>
  <c r="R666" i="2"/>
  <c r="N666" i="2"/>
  <c r="AE665" i="2"/>
  <c r="AD665" i="2"/>
  <c r="AC665" i="2"/>
  <c r="AB665" i="2"/>
  <c r="AA665" i="2"/>
  <c r="Z665" i="2"/>
  <c r="Y665" i="2"/>
  <c r="X665" i="2"/>
  <c r="W665" i="2"/>
  <c r="V665" i="2"/>
  <c r="U665" i="2"/>
  <c r="S665" i="2"/>
  <c r="R665" i="2"/>
  <c r="Q665" i="2"/>
  <c r="P665" i="2"/>
  <c r="O665" i="2"/>
  <c r="N665" i="2"/>
  <c r="M665" i="2"/>
  <c r="H665" i="2"/>
  <c r="F665" i="2"/>
  <c r="E665" i="2"/>
  <c r="G665" i="2" s="1"/>
  <c r="AE664" i="2"/>
  <c r="AD664" i="2"/>
  <c r="AC664" i="2"/>
  <c r="AB664" i="2"/>
  <c r="AA664" i="2"/>
  <c r="Z664" i="2"/>
  <c r="Y664" i="2"/>
  <c r="X664" i="2"/>
  <c r="W664" i="2"/>
  <c r="V664" i="2"/>
  <c r="U664" i="2"/>
  <c r="S664" i="2"/>
  <c r="R664" i="2"/>
  <c r="Q664" i="2"/>
  <c r="P664" i="2"/>
  <c r="N664" i="2"/>
  <c r="M664" i="2"/>
  <c r="H664" i="2"/>
  <c r="F664" i="2"/>
  <c r="E664" i="2"/>
  <c r="AE663" i="2"/>
  <c r="AD663" i="2"/>
  <c r="AC663" i="2"/>
  <c r="AB663" i="2"/>
  <c r="AA663" i="2"/>
  <c r="Z663" i="2"/>
  <c r="Y663" i="2"/>
  <c r="X663" i="2"/>
  <c r="W663" i="2"/>
  <c r="V663" i="2"/>
  <c r="U663" i="2"/>
  <c r="S663" i="2"/>
  <c r="R663" i="2"/>
  <c r="Q663" i="2"/>
  <c r="O663" i="2"/>
  <c r="N663" i="2"/>
  <c r="M663" i="2"/>
  <c r="F663" i="2"/>
  <c r="E663" i="2"/>
  <c r="AE662" i="2"/>
  <c r="AC662" i="2"/>
  <c r="AA662" i="2"/>
  <c r="Z662" i="2"/>
  <c r="Y662" i="2"/>
  <c r="W662" i="2"/>
  <c r="S662" i="2"/>
  <c r="Q662" i="2"/>
  <c r="F662" i="2"/>
  <c r="E662" i="2"/>
  <c r="AE661" i="2"/>
  <c r="AD661" i="2"/>
  <c r="AC661" i="2"/>
  <c r="AC660" i="2" s="1"/>
  <c r="AC659" i="2" s="1"/>
  <c r="AB661" i="2"/>
  <c r="AA661" i="2"/>
  <c r="Z661" i="2"/>
  <c r="Y661" i="2"/>
  <c r="X661" i="2"/>
  <c r="W661" i="2"/>
  <c r="V661" i="2"/>
  <c r="U661" i="2"/>
  <c r="S661" i="2"/>
  <c r="S660" i="2" s="1"/>
  <c r="S659" i="2" s="1"/>
  <c r="R661" i="2"/>
  <c r="Q661" i="2"/>
  <c r="O661" i="2"/>
  <c r="M661" i="2"/>
  <c r="F661" i="2"/>
  <c r="E661" i="2"/>
  <c r="AE660" i="2"/>
  <c r="AA660" i="2"/>
  <c r="T656" i="2"/>
  <c r="L656" i="2"/>
  <c r="G656" i="2"/>
  <c r="T655" i="2"/>
  <c r="N655" i="2"/>
  <c r="L655" i="2"/>
  <c r="G655" i="2"/>
  <c r="T654" i="2"/>
  <c r="N654" i="2"/>
  <c r="L654" i="2"/>
  <c r="K654" i="2" s="1"/>
  <c r="I654" i="2" s="1"/>
  <c r="J654" i="2" s="1"/>
  <c r="G654" i="2"/>
  <c r="T653" i="2"/>
  <c r="N653" i="2"/>
  <c r="L653" i="2"/>
  <c r="K653" i="2" s="1"/>
  <c r="G653" i="2"/>
  <c r="T652" i="2"/>
  <c r="N652" i="2"/>
  <c r="N649" i="2" s="1"/>
  <c r="G652" i="2"/>
  <c r="T651" i="2"/>
  <c r="N651" i="2"/>
  <c r="L651" i="2"/>
  <c r="G651" i="2"/>
  <c r="T650" i="2"/>
  <c r="L650" i="2"/>
  <c r="G650" i="2"/>
  <c r="AE649" i="2"/>
  <c r="AD649" i="2"/>
  <c r="AC649" i="2"/>
  <c r="AB649" i="2"/>
  <c r="AB635" i="2" s="1"/>
  <c r="AA649" i="2"/>
  <c r="Z649" i="2"/>
  <c r="Y649" i="2"/>
  <c r="X649" i="2"/>
  <c r="X635" i="2" s="1"/>
  <c r="W649" i="2"/>
  <c r="V649" i="2"/>
  <c r="U649" i="2"/>
  <c r="S649" i="2"/>
  <c r="S635" i="2" s="1"/>
  <c r="R649" i="2"/>
  <c r="Q649" i="2"/>
  <c r="P649" i="2"/>
  <c r="O649" i="2"/>
  <c r="O635" i="2" s="1"/>
  <c r="M649" i="2"/>
  <c r="M635" i="2" s="1"/>
  <c r="H649" i="2"/>
  <c r="F649" i="2"/>
  <c r="G649" i="2" s="1"/>
  <c r="E649" i="2"/>
  <c r="T648" i="2"/>
  <c r="L648" i="2"/>
  <c r="K648" i="2"/>
  <c r="I648" i="2" s="1"/>
  <c r="G648" i="2"/>
  <c r="T647" i="2"/>
  <c r="L647" i="2"/>
  <c r="K647" i="2"/>
  <c r="I647" i="2" s="1"/>
  <c r="G647" i="2"/>
  <c r="T646" i="2"/>
  <c r="K646" i="2" s="1"/>
  <c r="I646" i="2" s="1"/>
  <c r="J646" i="2" s="1"/>
  <c r="L646" i="2"/>
  <c r="G646" i="2"/>
  <c r="T645" i="2"/>
  <c r="N645" i="2"/>
  <c r="L645" i="2" s="1"/>
  <c r="K645" i="2" s="1"/>
  <c r="I645" i="2" s="1"/>
  <c r="J645" i="2" s="1"/>
  <c r="G645" i="2"/>
  <c r="T644" i="2"/>
  <c r="N644" i="2"/>
  <c r="L644" i="2" s="1"/>
  <c r="K644" i="2" s="1"/>
  <c r="I644" i="2" s="1"/>
  <c r="J644" i="2" s="1"/>
  <c r="G644" i="2"/>
  <c r="T643" i="2"/>
  <c r="K643" i="2" s="1"/>
  <c r="I643" i="2" s="1"/>
  <c r="J643" i="2" s="1"/>
  <c r="L643" i="2"/>
  <c r="G643" i="2"/>
  <c r="T642" i="2"/>
  <c r="K642" i="2" s="1"/>
  <c r="I642" i="2" s="1"/>
  <c r="J642" i="2" s="1"/>
  <c r="L642" i="2"/>
  <c r="G642" i="2"/>
  <c r="T641" i="2"/>
  <c r="K641" i="2" s="1"/>
  <c r="I641" i="2" s="1"/>
  <c r="J641" i="2" s="1"/>
  <c r="L641" i="2"/>
  <c r="G641" i="2"/>
  <c r="T640" i="2"/>
  <c r="R640" i="2"/>
  <c r="L640" i="2" s="1"/>
  <c r="K640" i="2" s="1"/>
  <c r="I640" i="2" s="1"/>
  <c r="J640" i="2" s="1"/>
  <c r="G640" i="2"/>
  <c r="T639" i="2"/>
  <c r="L639" i="2"/>
  <c r="G639" i="2"/>
  <c r="T638" i="2"/>
  <c r="L638" i="2"/>
  <c r="K638" i="2" s="1"/>
  <c r="I638" i="2" s="1"/>
  <c r="J638" i="2" s="1"/>
  <c r="G638" i="2"/>
  <c r="T637" i="2"/>
  <c r="L637" i="2"/>
  <c r="G637" i="2"/>
  <c r="AE636" i="2"/>
  <c r="AE635" i="2" s="1"/>
  <c r="AD636" i="2"/>
  <c r="AC636" i="2"/>
  <c r="AB636" i="2"/>
  <c r="AA636" i="2"/>
  <c r="AA635" i="2" s="1"/>
  <c r="Z636" i="2"/>
  <c r="Y636" i="2"/>
  <c r="X636" i="2"/>
  <c r="W636" i="2"/>
  <c r="V636" i="2"/>
  <c r="U636" i="2"/>
  <c r="S636" i="2"/>
  <c r="R636" i="2"/>
  <c r="R635" i="2" s="1"/>
  <c r="Q636" i="2"/>
  <c r="Q635" i="2" s="1"/>
  <c r="P636" i="2"/>
  <c r="O636" i="2"/>
  <c r="N636" i="2"/>
  <c r="M636" i="2"/>
  <c r="H636" i="2"/>
  <c r="F636" i="2"/>
  <c r="E636" i="2"/>
  <c r="AC635" i="2"/>
  <c r="Y635" i="2"/>
  <c r="U635" i="2"/>
  <c r="P635" i="2"/>
  <c r="H635" i="2"/>
  <c r="E635" i="2"/>
  <c r="T634" i="2"/>
  <c r="L634" i="2"/>
  <c r="G634" i="2"/>
  <c r="T633" i="2"/>
  <c r="K633" i="2" s="1"/>
  <c r="I633" i="2" s="1"/>
  <c r="J633" i="2" s="1"/>
  <c r="L633" i="2"/>
  <c r="G633" i="2"/>
  <c r="T632" i="2"/>
  <c r="T631" i="2" s="1"/>
  <c r="L632" i="2"/>
  <c r="G632" i="2"/>
  <c r="AE631" i="2"/>
  <c r="AD631" i="2"/>
  <c r="AC631" i="2"/>
  <c r="AB631" i="2"/>
  <c r="AA631" i="2"/>
  <c r="Z631" i="2"/>
  <c r="Y631" i="2"/>
  <c r="X631" i="2"/>
  <c r="W631" i="2"/>
  <c r="V631" i="2"/>
  <c r="U631" i="2"/>
  <c r="S631" i="2"/>
  <c r="R631" i="2"/>
  <c r="Q631" i="2"/>
  <c r="P631" i="2"/>
  <c r="O631" i="2"/>
  <c r="N631" i="2"/>
  <c r="M631" i="2"/>
  <c r="H631" i="2"/>
  <c r="F631" i="2"/>
  <c r="G631" i="2" s="1"/>
  <c r="E631" i="2"/>
  <c r="T630" i="2"/>
  <c r="K630" i="2" s="1"/>
  <c r="I630" i="2" s="1"/>
  <c r="J630" i="2" s="1"/>
  <c r="L630" i="2"/>
  <c r="G630" i="2"/>
  <c r="T629" i="2"/>
  <c r="T627" i="2" s="1"/>
  <c r="L629" i="2"/>
  <c r="G629" i="2"/>
  <c r="T628" i="2"/>
  <c r="L628" i="2"/>
  <c r="K628" i="2" s="1"/>
  <c r="I628" i="2" s="1"/>
  <c r="G628" i="2"/>
  <c r="AE627" i="2"/>
  <c r="AD627" i="2"/>
  <c r="AC627" i="2"/>
  <c r="AB627" i="2"/>
  <c r="AA627" i="2"/>
  <c r="Z627" i="2"/>
  <c r="Y627" i="2"/>
  <c r="X627" i="2"/>
  <c r="W627" i="2"/>
  <c r="V627" i="2"/>
  <c r="U627" i="2"/>
  <c r="S627" i="2"/>
  <c r="R627" i="2"/>
  <c r="Q627" i="2"/>
  <c r="P627" i="2"/>
  <c r="O627" i="2"/>
  <c r="N627" i="2"/>
  <c r="M627" i="2"/>
  <c r="H627" i="2"/>
  <c r="F627" i="2"/>
  <c r="G627" i="2" s="1"/>
  <c r="E627" i="2"/>
  <c r="T626" i="2"/>
  <c r="K626" i="2" s="1"/>
  <c r="L626" i="2"/>
  <c r="G626" i="2"/>
  <c r="AE625" i="2"/>
  <c r="AD625" i="2"/>
  <c r="AC625" i="2"/>
  <c r="AB625" i="2"/>
  <c r="AA625" i="2"/>
  <c r="Z625" i="2"/>
  <c r="Y625" i="2"/>
  <c r="X625" i="2"/>
  <c r="W625" i="2"/>
  <c r="V625" i="2"/>
  <c r="U625" i="2"/>
  <c r="S625" i="2"/>
  <c r="R625" i="2"/>
  <c r="Q625" i="2"/>
  <c r="P625" i="2"/>
  <c r="O625" i="2"/>
  <c r="N625" i="2"/>
  <c r="M625" i="2"/>
  <c r="L625" i="2"/>
  <c r="H625" i="2"/>
  <c r="F625" i="2"/>
  <c r="E625" i="2"/>
  <c r="G625" i="2" s="1"/>
  <c r="T624" i="2"/>
  <c r="L624" i="2"/>
  <c r="K624" i="2" s="1"/>
  <c r="I624" i="2" s="1"/>
  <c r="J624" i="2" s="1"/>
  <c r="G624" i="2"/>
  <c r="T623" i="2"/>
  <c r="K623" i="2" s="1"/>
  <c r="I623" i="2" s="1"/>
  <c r="J623" i="2" s="1"/>
  <c r="L623" i="2"/>
  <c r="G623" i="2"/>
  <c r="T622" i="2"/>
  <c r="L622" i="2"/>
  <c r="G622" i="2"/>
  <c r="L621" i="2"/>
  <c r="K621" i="2" s="1"/>
  <c r="I621" i="2" s="1"/>
  <c r="T620" i="2"/>
  <c r="P620" i="2"/>
  <c r="L620" i="2" s="1"/>
  <c r="G620" i="2"/>
  <c r="AE619" i="2"/>
  <c r="AD619" i="2"/>
  <c r="AC619" i="2"/>
  <c r="AB619" i="2"/>
  <c r="AA619" i="2"/>
  <c r="Z619" i="2"/>
  <c r="Y619" i="2"/>
  <c r="X619" i="2"/>
  <c r="W619" i="2"/>
  <c r="V619" i="2"/>
  <c r="U619" i="2"/>
  <c r="S619" i="2"/>
  <c r="R619" i="2"/>
  <c r="Q619" i="2"/>
  <c r="O619" i="2"/>
  <c r="N619" i="2"/>
  <c r="M619" i="2"/>
  <c r="H619" i="2"/>
  <c r="F619" i="2"/>
  <c r="E619" i="2"/>
  <c r="G619" i="2" s="1"/>
  <c r="T618" i="2"/>
  <c r="L618" i="2"/>
  <c r="L616" i="2" s="1"/>
  <c r="G618" i="2"/>
  <c r="T617" i="2"/>
  <c r="L617" i="2"/>
  <c r="G617" i="2"/>
  <c r="AE616" i="2"/>
  <c r="AD616" i="2"/>
  <c r="AC616" i="2"/>
  <c r="AB616" i="2"/>
  <c r="AA616" i="2"/>
  <c r="Z616" i="2"/>
  <c r="Y616" i="2"/>
  <c r="X616" i="2"/>
  <c r="W616" i="2"/>
  <c r="V616" i="2"/>
  <c r="U616" i="2"/>
  <c r="S616" i="2"/>
  <c r="R616" i="2"/>
  <c r="Q616" i="2"/>
  <c r="P616" i="2"/>
  <c r="O616" i="2"/>
  <c r="N616" i="2"/>
  <c r="M616" i="2"/>
  <c r="H616" i="2"/>
  <c r="F616" i="2"/>
  <c r="E616" i="2"/>
  <c r="T615" i="2"/>
  <c r="K615" i="2" s="1"/>
  <c r="I615" i="2" s="1"/>
  <c r="J615" i="2" s="1"/>
  <c r="L615" i="2"/>
  <c r="G615" i="2"/>
  <c r="T614" i="2"/>
  <c r="L614" i="2"/>
  <c r="G614" i="2"/>
  <c r="T613" i="2"/>
  <c r="R613" i="2"/>
  <c r="L613" i="2"/>
  <c r="G613" i="2"/>
  <c r="T612" i="2"/>
  <c r="K612" i="2" s="1"/>
  <c r="I612" i="2" s="1"/>
  <c r="J612" i="2" s="1"/>
  <c r="L612" i="2"/>
  <c r="G612" i="2"/>
  <c r="T611" i="2"/>
  <c r="K611" i="2" s="1"/>
  <c r="I611" i="2" s="1"/>
  <c r="J611" i="2" s="1"/>
  <c r="L611" i="2"/>
  <c r="G611" i="2"/>
  <c r="T610" i="2"/>
  <c r="K610" i="2" s="1"/>
  <c r="I610" i="2" s="1"/>
  <c r="J610" i="2" s="1"/>
  <c r="L610" i="2"/>
  <c r="G610" i="2"/>
  <c r="T609" i="2"/>
  <c r="L609" i="2"/>
  <c r="K609" i="2" s="1"/>
  <c r="I609" i="2" s="1"/>
  <c r="J609" i="2" s="1"/>
  <c r="G609" i="2"/>
  <c r="T608" i="2"/>
  <c r="K608" i="2" s="1"/>
  <c r="I608" i="2" s="1"/>
  <c r="L608" i="2"/>
  <c r="T607" i="2"/>
  <c r="L607" i="2"/>
  <c r="T606" i="2"/>
  <c r="L606" i="2"/>
  <c r="G606" i="2"/>
  <c r="AE605" i="2"/>
  <c r="AD605" i="2"/>
  <c r="AC605" i="2"/>
  <c r="AB605" i="2"/>
  <c r="AB598" i="2" s="1"/>
  <c r="AA605" i="2"/>
  <c r="Z605" i="2"/>
  <c r="Z598" i="2" s="1"/>
  <c r="Y605" i="2"/>
  <c r="X605" i="2"/>
  <c r="X598" i="2" s="1"/>
  <c r="W605" i="2"/>
  <c r="V605" i="2"/>
  <c r="U605" i="2"/>
  <c r="S605" i="2"/>
  <c r="R605" i="2"/>
  <c r="Q605" i="2"/>
  <c r="P605" i="2"/>
  <c r="O605" i="2"/>
  <c r="O598" i="2" s="1"/>
  <c r="N605" i="2"/>
  <c r="M605" i="2"/>
  <c r="H605" i="2"/>
  <c r="F605" i="2"/>
  <c r="F598" i="2" s="1"/>
  <c r="E605" i="2"/>
  <c r="T604" i="2"/>
  <c r="L604" i="2"/>
  <c r="K604" i="2"/>
  <c r="I604" i="2" s="1"/>
  <c r="J604" i="2" s="1"/>
  <c r="G604" i="2"/>
  <c r="T603" i="2"/>
  <c r="L603" i="2"/>
  <c r="G603" i="2"/>
  <c r="T602" i="2"/>
  <c r="L602" i="2"/>
  <c r="K602" i="2"/>
  <c r="I602" i="2" s="1"/>
  <c r="J602" i="2" s="1"/>
  <c r="G602" i="2"/>
  <c r="T601" i="2"/>
  <c r="T599" i="2" s="1"/>
  <c r="L601" i="2"/>
  <c r="G601" i="2"/>
  <c r="T600" i="2"/>
  <c r="L600" i="2"/>
  <c r="K600" i="2" s="1"/>
  <c r="I600" i="2" s="1"/>
  <c r="J600" i="2" s="1"/>
  <c r="H600" i="2"/>
  <c r="H663" i="2" s="1"/>
  <c r="G600" i="2"/>
  <c r="AE599" i="2"/>
  <c r="AD599" i="2"/>
  <c r="AC599" i="2"/>
  <c r="AC598" i="2" s="1"/>
  <c r="AB599" i="2"/>
  <c r="AA599" i="2"/>
  <c r="Z599" i="2"/>
  <c r="Y599" i="2"/>
  <c r="Y598" i="2" s="1"/>
  <c r="X599" i="2"/>
  <c r="W599" i="2"/>
  <c r="V599" i="2"/>
  <c r="U599" i="2"/>
  <c r="U598" i="2" s="1"/>
  <c r="S599" i="2"/>
  <c r="R599" i="2"/>
  <c r="Q599" i="2"/>
  <c r="P599" i="2"/>
  <c r="O599" i="2"/>
  <c r="N599" i="2"/>
  <c r="M599" i="2"/>
  <c r="H599" i="2"/>
  <c r="F599" i="2"/>
  <c r="E599" i="2"/>
  <c r="G599" i="2" s="1"/>
  <c r="R598" i="2"/>
  <c r="L597" i="2"/>
  <c r="K597" i="2" s="1"/>
  <c r="I597" i="2" s="1"/>
  <c r="T596" i="2"/>
  <c r="L596" i="2"/>
  <c r="G596" i="2"/>
  <c r="L595" i="2"/>
  <c r="K595" i="2" s="1"/>
  <c r="I595" i="2" s="1"/>
  <c r="T594" i="2"/>
  <c r="K594" i="2" s="1"/>
  <c r="I594" i="2" s="1"/>
  <c r="J594" i="2" s="1"/>
  <c r="L594" i="2"/>
  <c r="G594" i="2"/>
  <c r="T593" i="2"/>
  <c r="K593" i="2" s="1"/>
  <c r="I593" i="2" s="1"/>
  <c r="J593" i="2" s="1"/>
  <c r="L593" i="2"/>
  <c r="G593" i="2"/>
  <c r="T592" i="2"/>
  <c r="L592" i="2"/>
  <c r="K592" i="2" s="1"/>
  <c r="I592" i="2" s="1"/>
  <c r="J592" i="2" s="1"/>
  <c r="G592" i="2"/>
  <c r="T591" i="2"/>
  <c r="L591" i="2"/>
  <c r="K591" i="2"/>
  <c r="I591" i="2" s="1"/>
  <c r="J591" i="2" s="1"/>
  <c r="G591" i="2"/>
  <c r="T590" i="2"/>
  <c r="K590" i="2" s="1"/>
  <c r="L590" i="2"/>
  <c r="G590" i="2"/>
  <c r="AE589" i="2"/>
  <c r="AD589" i="2"/>
  <c r="AC589" i="2"/>
  <c r="AB589" i="2"/>
  <c r="AA589" i="2"/>
  <c r="Z589" i="2"/>
  <c r="Y589" i="2"/>
  <c r="X589" i="2"/>
  <c r="W589" i="2"/>
  <c r="V589" i="2"/>
  <c r="U589" i="2"/>
  <c r="T589" i="2"/>
  <c r="S589" i="2"/>
  <c r="R589" i="2"/>
  <c r="Q589" i="2"/>
  <c r="P589" i="2"/>
  <c r="O589" i="2"/>
  <c r="N589" i="2"/>
  <c r="M589" i="2"/>
  <c r="L589" i="2"/>
  <c r="H589" i="2"/>
  <c r="F589" i="2"/>
  <c r="E589" i="2"/>
  <c r="G589" i="2" s="1"/>
  <c r="L588" i="2"/>
  <c r="K588" i="2"/>
  <c r="I588" i="2" s="1"/>
  <c r="L587" i="2"/>
  <c r="K587" i="2"/>
  <c r="I587" i="2" s="1"/>
  <c r="T586" i="2"/>
  <c r="L586" i="2"/>
  <c r="K586" i="2" s="1"/>
  <c r="I586" i="2" s="1"/>
  <c r="I585" i="2" s="1"/>
  <c r="AE585" i="2"/>
  <c r="AD585" i="2"/>
  <c r="AC585" i="2"/>
  <c r="AB585" i="2"/>
  <c r="AA585" i="2"/>
  <c r="Z585" i="2"/>
  <c r="Y585" i="2"/>
  <c r="X585" i="2"/>
  <c r="W585" i="2"/>
  <c r="V585" i="2"/>
  <c r="U585" i="2"/>
  <c r="T585" i="2"/>
  <c r="S585" i="2"/>
  <c r="R585" i="2"/>
  <c r="Q585" i="2"/>
  <c r="P585" i="2"/>
  <c r="O585" i="2"/>
  <c r="N585" i="2"/>
  <c r="M585" i="2"/>
  <c r="H585" i="2"/>
  <c r="G585" i="2"/>
  <c r="F585" i="2"/>
  <c r="E585" i="2"/>
  <c r="T584" i="2"/>
  <c r="T583" i="2" s="1"/>
  <c r="L584" i="2"/>
  <c r="K584" i="2" s="1"/>
  <c r="G584" i="2"/>
  <c r="AE583" i="2"/>
  <c r="AD583" i="2"/>
  <c r="AC583" i="2"/>
  <c r="AB583" i="2"/>
  <c r="AA583" i="2"/>
  <c r="Z583" i="2"/>
  <c r="Y583" i="2"/>
  <c r="X583" i="2"/>
  <c r="W583" i="2"/>
  <c r="V583" i="2"/>
  <c r="U583" i="2"/>
  <c r="S583" i="2"/>
  <c r="R583" i="2"/>
  <c r="Q583" i="2"/>
  <c r="P583" i="2"/>
  <c r="O583" i="2"/>
  <c r="N583" i="2"/>
  <c r="M583" i="2"/>
  <c r="H583" i="2"/>
  <c r="F583" i="2"/>
  <c r="E583" i="2"/>
  <c r="T582" i="2"/>
  <c r="L582" i="2"/>
  <c r="K582" i="2" s="1"/>
  <c r="I582" i="2" s="1"/>
  <c r="J582" i="2" s="1"/>
  <c r="G582" i="2"/>
  <c r="T581" i="2"/>
  <c r="L581" i="2"/>
  <c r="G581" i="2"/>
  <c r="T580" i="2"/>
  <c r="L580" i="2"/>
  <c r="G580" i="2"/>
  <c r="AE579" i="2"/>
  <c r="AD579" i="2"/>
  <c r="AC579" i="2"/>
  <c r="AB579" i="2"/>
  <c r="AA579" i="2"/>
  <c r="Z579" i="2"/>
  <c r="Y579" i="2"/>
  <c r="X579" i="2"/>
  <c r="W579" i="2"/>
  <c r="V579" i="2"/>
  <c r="U579" i="2"/>
  <c r="S579" i="2"/>
  <c r="R579" i="2"/>
  <c r="Q579" i="2"/>
  <c r="P579" i="2"/>
  <c r="O579" i="2"/>
  <c r="N579" i="2"/>
  <c r="M579" i="2"/>
  <c r="H579" i="2"/>
  <c r="F579" i="2"/>
  <c r="E579" i="2"/>
  <c r="T578" i="2"/>
  <c r="L578" i="2"/>
  <c r="G578" i="2"/>
  <c r="T577" i="2"/>
  <c r="L577" i="2"/>
  <c r="K577" i="2" s="1"/>
  <c r="I577" i="2" s="1"/>
  <c r="J577" i="2" s="1"/>
  <c r="G577" i="2"/>
  <c r="T576" i="2"/>
  <c r="M576" i="2"/>
  <c r="M571" i="2" s="1"/>
  <c r="G576" i="2"/>
  <c r="T575" i="2"/>
  <c r="L575" i="2"/>
  <c r="K575" i="2" s="1"/>
  <c r="I575" i="2" s="1"/>
  <c r="J575" i="2" s="1"/>
  <c r="G575" i="2"/>
  <c r="T574" i="2"/>
  <c r="L574" i="2"/>
  <c r="K574" i="2" s="1"/>
  <c r="I574" i="2" s="1"/>
  <c r="J574" i="2" s="1"/>
  <c r="G574" i="2"/>
  <c r="T573" i="2"/>
  <c r="K573" i="2" s="1"/>
  <c r="I573" i="2" s="1"/>
  <c r="J573" i="2" s="1"/>
  <c r="L573" i="2"/>
  <c r="G573" i="2"/>
  <c r="T572" i="2"/>
  <c r="L572" i="2"/>
  <c r="G572" i="2"/>
  <c r="AE571" i="2"/>
  <c r="AD571" i="2"/>
  <c r="AC571" i="2"/>
  <c r="AB571" i="2"/>
  <c r="AA571" i="2"/>
  <c r="Z571" i="2"/>
  <c r="Y571" i="2"/>
  <c r="X571" i="2"/>
  <c r="W571" i="2"/>
  <c r="V571" i="2"/>
  <c r="U571" i="2"/>
  <c r="S571" i="2"/>
  <c r="R571" i="2"/>
  <c r="Q571" i="2"/>
  <c r="P571" i="2"/>
  <c r="O571" i="2"/>
  <c r="N571" i="2"/>
  <c r="H571" i="2"/>
  <c r="F571" i="2"/>
  <c r="E571" i="2"/>
  <c r="T570" i="2"/>
  <c r="L570" i="2"/>
  <c r="G570" i="2"/>
  <c r="AE569" i="2"/>
  <c r="AD569" i="2"/>
  <c r="AC569" i="2"/>
  <c r="AB569" i="2"/>
  <c r="AA569" i="2"/>
  <c r="Z569" i="2"/>
  <c r="Y569" i="2"/>
  <c r="X569" i="2"/>
  <c r="W569" i="2"/>
  <c r="V569" i="2"/>
  <c r="U569" i="2"/>
  <c r="T569" i="2"/>
  <c r="S569" i="2"/>
  <c r="R569" i="2"/>
  <c r="Q569" i="2"/>
  <c r="P569" i="2"/>
  <c r="O569" i="2"/>
  <c r="N569" i="2"/>
  <c r="M569" i="2"/>
  <c r="L569" i="2"/>
  <c r="H569" i="2"/>
  <c r="F569" i="2"/>
  <c r="G569" i="2" s="1"/>
  <c r="E569" i="2"/>
  <c r="T568" i="2"/>
  <c r="R568" i="2"/>
  <c r="L568" i="2"/>
  <c r="G568" i="2"/>
  <c r="T567" i="2"/>
  <c r="L567" i="2"/>
  <c r="G567" i="2"/>
  <c r="T566" i="2"/>
  <c r="L566" i="2"/>
  <c r="K566" i="2" s="1"/>
  <c r="I566" i="2" s="1"/>
  <c r="J566" i="2" s="1"/>
  <c r="G566" i="2"/>
  <c r="T565" i="2"/>
  <c r="L565" i="2"/>
  <c r="G565" i="2"/>
  <c r="AE564" i="2"/>
  <c r="AD564" i="2"/>
  <c r="AC564" i="2"/>
  <c r="AB564" i="2"/>
  <c r="AA564" i="2"/>
  <c r="Z564" i="2"/>
  <c r="Y564" i="2"/>
  <c r="X564" i="2"/>
  <c r="W564" i="2"/>
  <c r="V564" i="2"/>
  <c r="U564" i="2"/>
  <c r="T564" i="2"/>
  <c r="S564" i="2"/>
  <c r="R564" i="2"/>
  <c r="Q564" i="2"/>
  <c r="P564" i="2"/>
  <c r="O564" i="2"/>
  <c r="N564" i="2"/>
  <c r="M564" i="2"/>
  <c r="L564" i="2"/>
  <c r="H564" i="2"/>
  <c r="F564" i="2"/>
  <c r="G564" i="2" s="1"/>
  <c r="E564" i="2"/>
  <c r="T563" i="2"/>
  <c r="L563" i="2"/>
  <c r="G563" i="2"/>
  <c r="AE562" i="2"/>
  <c r="AD562" i="2"/>
  <c r="AC562" i="2"/>
  <c r="AB562" i="2"/>
  <c r="AA562" i="2"/>
  <c r="Z562" i="2"/>
  <c r="Y562" i="2"/>
  <c r="X562" i="2"/>
  <c r="W562" i="2"/>
  <c r="V562" i="2"/>
  <c r="U562" i="2"/>
  <c r="S562" i="2"/>
  <c r="R562" i="2"/>
  <c r="Q562" i="2"/>
  <c r="P562" i="2"/>
  <c r="O562" i="2"/>
  <c r="N562" i="2"/>
  <c r="M562" i="2"/>
  <c r="L562" i="2"/>
  <c r="H562" i="2"/>
  <c r="F562" i="2"/>
  <c r="E562" i="2"/>
  <c r="T561" i="2"/>
  <c r="L561" i="2"/>
  <c r="G561" i="2"/>
  <c r="T560" i="2"/>
  <c r="L560" i="2"/>
  <c r="K560" i="2" s="1"/>
  <c r="I560" i="2" s="1"/>
  <c r="J560" i="2" s="1"/>
  <c r="G560" i="2"/>
  <c r="T559" i="2"/>
  <c r="L559" i="2"/>
  <c r="G559" i="2"/>
  <c r="T558" i="2"/>
  <c r="M558" i="2"/>
  <c r="L558" i="2" s="1"/>
  <c r="G558" i="2"/>
  <c r="T557" i="2"/>
  <c r="K557" i="2" s="1"/>
  <c r="I557" i="2" s="1"/>
  <c r="J557" i="2" s="1"/>
  <c r="L557" i="2"/>
  <c r="G557" i="2"/>
  <c r="T556" i="2"/>
  <c r="K556" i="2" s="1"/>
  <c r="I556" i="2" s="1"/>
  <c r="J556" i="2" s="1"/>
  <c r="L556" i="2"/>
  <c r="G556" i="2"/>
  <c r="T555" i="2"/>
  <c r="L555" i="2"/>
  <c r="G555" i="2"/>
  <c r="T554" i="2"/>
  <c r="K554" i="2" s="1"/>
  <c r="I554" i="2" s="1"/>
  <c r="J554" i="2" s="1"/>
  <c r="L554" i="2"/>
  <c r="G554" i="2"/>
  <c r="T553" i="2"/>
  <c r="L553" i="2"/>
  <c r="K553" i="2" s="1"/>
  <c r="I553" i="2" s="1"/>
  <c r="J553" i="2" s="1"/>
  <c r="G553" i="2"/>
  <c r="T552" i="2"/>
  <c r="L552" i="2"/>
  <c r="K552" i="2" s="1"/>
  <c r="I552" i="2" s="1"/>
  <c r="J552" i="2" s="1"/>
  <c r="G552" i="2"/>
  <c r="T551" i="2"/>
  <c r="T550" i="2" s="1"/>
  <c r="L551" i="2"/>
  <c r="G551" i="2"/>
  <c r="AE550" i="2"/>
  <c r="AD550" i="2"/>
  <c r="AC550" i="2"/>
  <c r="AB550" i="2"/>
  <c r="AA550" i="2"/>
  <c r="Z550" i="2"/>
  <c r="Y550" i="2"/>
  <c r="X550" i="2"/>
  <c r="W550" i="2"/>
  <c r="V550" i="2"/>
  <c r="U550" i="2"/>
  <c r="S550" i="2"/>
  <c r="R550" i="2"/>
  <c r="Q550" i="2"/>
  <c r="Q543" i="2" s="1"/>
  <c r="P550" i="2"/>
  <c r="O550" i="2"/>
  <c r="N550" i="2"/>
  <c r="M550" i="2"/>
  <c r="H550" i="2"/>
  <c r="F550" i="2"/>
  <c r="E550" i="2"/>
  <c r="T549" i="2"/>
  <c r="L549" i="2"/>
  <c r="G549" i="2"/>
  <c r="T548" i="2"/>
  <c r="L548" i="2"/>
  <c r="K548" i="2" s="1"/>
  <c r="I548" i="2" s="1"/>
  <c r="J548" i="2" s="1"/>
  <c r="G548" i="2"/>
  <c r="L547" i="2"/>
  <c r="K547" i="2" s="1"/>
  <c r="I547" i="2" s="1"/>
  <c r="T546" i="2"/>
  <c r="N546" i="2"/>
  <c r="L546" i="2"/>
  <c r="G546" i="2"/>
  <c r="T545" i="2"/>
  <c r="L545" i="2"/>
  <c r="K545" i="2" s="1"/>
  <c r="G545" i="2"/>
  <c r="AE544" i="2"/>
  <c r="AE543" i="2" s="1"/>
  <c r="AD544" i="2"/>
  <c r="AC544" i="2"/>
  <c r="AB544" i="2"/>
  <c r="AA544" i="2"/>
  <c r="AA543" i="2" s="1"/>
  <c r="Z544" i="2"/>
  <c r="Y544" i="2"/>
  <c r="X544" i="2"/>
  <c r="W544" i="2"/>
  <c r="W543" i="2" s="1"/>
  <c r="V544" i="2"/>
  <c r="U544" i="2"/>
  <c r="S544" i="2"/>
  <c r="S543" i="2" s="1"/>
  <c r="R544" i="2"/>
  <c r="Q544" i="2"/>
  <c r="P544" i="2"/>
  <c r="O544" i="2"/>
  <c r="O543" i="2" s="1"/>
  <c r="N544" i="2"/>
  <c r="M544" i="2"/>
  <c r="H544" i="2"/>
  <c r="F544" i="2"/>
  <c r="E544" i="2"/>
  <c r="L542" i="2"/>
  <c r="K542" i="2"/>
  <c r="I542" i="2" s="1"/>
  <c r="I541" i="2" s="1"/>
  <c r="S541" i="2"/>
  <c r="L541" i="2"/>
  <c r="H541" i="2"/>
  <c r="F541" i="2"/>
  <c r="E541" i="2"/>
  <c r="T540" i="2"/>
  <c r="L540" i="2"/>
  <c r="G540" i="2"/>
  <c r="AE539" i="2"/>
  <c r="AD539" i="2"/>
  <c r="AC539" i="2"/>
  <c r="AB539" i="2"/>
  <c r="AA539" i="2"/>
  <c r="Z539" i="2"/>
  <c r="Y539" i="2"/>
  <c r="X539" i="2"/>
  <c r="W539" i="2"/>
  <c r="V539" i="2"/>
  <c r="U539" i="2"/>
  <c r="T539" i="2"/>
  <c r="S539" i="2"/>
  <c r="R539" i="2"/>
  <c r="Q539" i="2"/>
  <c r="P539" i="2"/>
  <c r="O539" i="2"/>
  <c r="N539" i="2"/>
  <c r="M539" i="2"/>
  <c r="L539" i="2"/>
  <c r="H539" i="2"/>
  <c r="F539" i="2"/>
  <c r="G539" i="2" s="1"/>
  <c r="E539" i="2"/>
  <c r="T538" i="2"/>
  <c r="L538" i="2"/>
  <c r="G538" i="2"/>
  <c r="AE537" i="2"/>
  <c r="AD537" i="2"/>
  <c r="AC537" i="2"/>
  <c r="AB537" i="2"/>
  <c r="AA537" i="2"/>
  <c r="Z537" i="2"/>
  <c r="Y537" i="2"/>
  <c r="X537" i="2"/>
  <c r="W537" i="2"/>
  <c r="V537" i="2"/>
  <c r="U537" i="2"/>
  <c r="S537" i="2"/>
  <c r="R537" i="2"/>
  <c r="Q537" i="2"/>
  <c r="P537" i="2"/>
  <c r="O537" i="2"/>
  <c r="N537" i="2"/>
  <c r="M537" i="2"/>
  <c r="L537" i="2"/>
  <c r="H537" i="2"/>
  <c r="F537" i="2"/>
  <c r="E537" i="2"/>
  <c r="T536" i="2"/>
  <c r="L536" i="2"/>
  <c r="G536" i="2"/>
  <c r="T535" i="2"/>
  <c r="L535" i="2"/>
  <c r="G535" i="2"/>
  <c r="T534" i="2"/>
  <c r="L534" i="2"/>
  <c r="G534" i="2"/>
  <c r="T533" i="2"/>
  <c r="L533" i="2"/>
  <c r="G533" i="2"/>
  <c r="T532" i="2"/>
  <c r="L532" i="2"/>
  <c r="K532" i="2"/>
  <c r="I532" i="2" s="1"/>
  <c r="J532" i="2" s="1"/>
  <c r="G532" i="2"/>
  <c r="T531" i="2"/>
  <c r="K531" i="2" s="1"/>
  <c r="I531" i="2" s="1"/>
  <c r="J531" i="2" s="1"/>
  <c r="L531" i="2"/>
  <c r="G531" i="2"/>
  <c r="T530" i="2"/>
  <c r="L530" i="2"/>
  <c r="K530" i="2" s="1"/>
  <c r="I530" i="2" s="1"/>
  <c r="J530" i="2" s="1"/>
  <c r="G530" i="2"/>
  <c r="T529" i="2"/>
  <c r="L529" i="2"/>
  <c r="G529" i="2"/>
  <c r="T528" i="2"/>
  <c r="K528" i="2" s="1"/>
  <c r="I528" i="2" s="1"/>
  <c r="J528" i="2" s="1"/>
  <c r="L528" i="2"/>
  <c r="G528" i="2"/>
  <c r="T527" i="2"/>
  <c r="K527" i="2" s="1"/>
  <c r="L527" i="2"/>
  <c r="G527" i="2"/>
  <c r="T526" i="2"/>
  <c r="L526" i="2"/>
  <c r="K526" i="2" s="1"/>
  <c r="G526" i="2"/>
  <c r="AE525" i="2"/>
  <c r="AD525" i="2"/>
  <c r="AC525" i="2"/>
  <c r="AB525" i="2"/>
  <c r="AA525" i="2"/>
  <c r="Z525" i="2"/>
  <c r="Y525" i="2"/>
  <c r="X525" i="2"/>
  <c r="W525" i="2"/>
  <c r="V525" i="2"/>
  <c r="U525" i="2"/>
  <c r="S525" i="2"/>
  <c r="R525" i="2"/>
  <c r="Q525" i="2"/>
  <c r="P525" i="2"/>
  <c r="O525" i="2"/>
  <c r="N525" i="2"/>
  <c r="M525" i="2"/>
  <c r="H525" i="2"/>
  <c r="F525" i="2"/>
  <c r="E525" i="2"/>
  <c r="T524" i="2"/>
  <c r="L524" i="2"/>
  <c r="G524" i="2"/>
  <c r="T523" i="2"/>
  <c r="L523" i="2"/>
  <c r="K523" i="2" s="1"/>
  <c r="I523" i="2" s="1"/>
  <c r="J523" i="2" s="1"/>
  <c r="G523" i="2"/>
  <c r="T522" i="2"/>
  <c r="L522" i="2"/>
  <c r="G522" i="2"/>
  <c r="AE521" i="2"/>
  <c r="AD521" i="2"/>
  <c r="AC521" i="2"/>
  <c r="AB521" i="2"/>
  <c r="AA521" i="2"/>
  <c r="Z521" i="2"/>
  <c r="Y521" i="2"/>
  <c r="X521" i="2"/>
  <c r="W521" i="2"/>
  <c r="V521" i="2"/>
  <c r="U521" i="2"/>
  <c r="T521" i="2"/>
  <c r="S521" i="2"/>
  <c r="R521" i="2"/>
  <c r="Q521" i="2"/>
  <c r="P521" i="2"/>
  <c r="O521" i="2"/>
  <c r="N521" i="2"/>
  <c r="M521" i="2"/>
  <c r="L521" i="2"/>
  <c r="H521" i="2"/>
  <c r="F521" i="2"/>
  <c r="G521" i="2" s="1"/>
  <c r="E521" i="2"/>
  <c r="T520" i="2"/>
  <c r="K520" i="2" s="1"/>
  <c r="I520" i="2" s="1"/>
  <c r="J520" i="2" s="1"/>
  <c r="L520" i="2"/>
  <c r="G520" i="2"/>
  <c r="T519" i="2"/>
  <c r="L519" i="2"/>
  <c r="K519" i="2" s="1"/>
  <c r="I519" i="2" s="1"/>
  <c r="J519" i="2" s="1"/>
  <c r="G519" i="2"/>
  <c r="T518" i="2"/>
  <c r="L518" i="2"/>
  <c r="G518" i="2"/>
  <c r="T517" i="2"/>
  <c r="L517" i="2"/>
  <c r="K517" i="2"/>
  <c r="I517" i="2" s="1"/>
  <c r="J517" i="2" s="1"/>
  <c r="G517" i="2"/>
  <c r="T516" i="2"/>
  <c r="K516" i="2" s="1"/>
  <c r="I516" i="2" s="1"/>
  <c r="J516" i="2" s="1"/>
  <c r="L516" i="2"/>
  <c r="G516" i="2"/>
  <c r="T515" i="2"/>
  <c r="L515" i="2"/>
  <c r="K515" i="2" s="1"/>
  <c r="I515" i="2" s="1"/>
  <c r="J515" i="2" s="1"/>
  <c r="G515" i="2"/>
  <c r="T514" i="2"/>
  <c r="L514" i="2"/>
  <c r="G514" i="2"/>
  <c r="T513" i="2"/>
  <c r="K513" i="2" s="1"/>
  <c r="I513" i="2" s="1"/>
  <c r="L513" i="2"/>
  <c r="T512" i="2"/>
  <c r="L512" i="2"/>
  <c r="T511" i="2"/>
  <c r="L511" i="2"/>
  <c r="G511" i="2"/>
  <c r="T510" i="2"/>
  <c r="L510" i="2"/>
  <c r="K510" i="2" s="1"/>
  <c r="I510" i="2" s="1"/>
  <c r="J510" i="2" s="1"/>
  <c r="G510" i="2"/>
  <c r="T509" i="2"/>
  <c r="L509" i="2"/>
  <c r="G509" i="2"/>
  <c r="T508" i="2"/>
  <c r="L508" i="2"/>
  <c r="K508" i="2" s="1"/>
  <c r="I508" i="2" s="1"/>
  <c r="J508" i="2" s="1"/>
  <c r="G508" i="2"/>
  <c r="T507" i="2"/>
  <c r="L507" i="2"/>
  <c r="G507" i="2"/>
  <c r="T506" i="2"/>
  <c r="L506" i="2"/>
  <c r="K506" i="2" s="1"/>
  <c r="G506" i="2"/>
  <c r="AE505" i="2"/>
  <c r="AD505" i="2"/>
  <c r="AD488" i="2" s="1"/>
  <c r="AC505" i="2"/>
  <c r="AB505" i="2"/>
  <c r="AA505" i="2"/>
  <c r="Z505" i="2"/>
  <c r="Y505" i="2"/>
  <c r="X505" i="2"/>
  <c r="W505" i="2"/>
  <c r="V505" i="2"/>
  <c r="U505" i="2"/>
  <c r="S505" i="2"/>
  <c r="R505" i="2"/>
  <c r="Q505" i="2"/>
  <c r="P505" i="2"/>
  <c r="O505" i="2"/>
  <c r="N505" i="2"/>
  <c r="M505" i="2"/>
  <c r="H505" i="2"/>
  <c r="F505" i="2"/>
  <c r="E505" i="2"/>
  <c r="T504" i="2"/>
  <c r="L504" i="2"/>
  <c r="K504" i="2" s="1"/>
  <c r="I504" i="2" s="1"/>
  <c r="J504" i="2" s="1"/>
  <c r="G504" i="2"/>
  <c r="T503" i="2"/>
  <c r="L503" i="2"/>
  <c r="G503" i="2"/>
  <c r="T502" i="2"/>
  <c r="K502" i="2" s="1"/>
  <c r="I502" i="2" s="1"/>
  <c r="J502" i="2" s="1"/>
  <c r="L502" i="2"/>
  <c r="G502" i="2"/>
  <c r="T501" i="2"/>
  <c r="L501" i="2"/>
  <c r="K501" i="2" s="1"/>
  <c r="I501" i="2" s="1"/>
  <c r="J501" i="2" s="1"/>
  <c r="G501" i="2"/>
  <c r="T500" i="2"/>
  <c r="L500" i="2"/>
  <c r="G500" i="2"/>
  <c r="T499" i="2"/>
  <c r="L499" i="2"/>
  <c r="G499" i="2"/>
  <c r="T498" i="2"/>
  <c r="K498" i="2" s="1"/>
  <c r="I498" i="2" s="1"/>
  <c r="J498" i="2" s="1"/>
  <c r="L498" i="2"/>
  <c r="G498" i="2"/>
  <c r="T497" i="2"/>
  <c r="L497" i="2"/>
  <c r="K497" i="2" s="1"/>
  <c r="I497" i="2" s="1"/>
  <c r="J497" i="2" s="1"/>
  <c r="G497" i="2"/>
  <c r="T496" i="2"/>
  <c r="L496" i="2"/>
  <c r="K496" i="2" s="1"/>
  <c r="I496" i="2" s="1"/>
  <c r="J496" i="2" s="1"/>
  <c r="G496" i="2"/>
  <c r="T495" i="2"/>
  <c r="L495" i="2"/>
  <c r="G495" i="2"/>
  <c r="T494" i="2"/>
  <c r="K494" i="2" s="1"/>
  <c r="I494" i="2" s="1"/>
  <c r="J494" i="2" s="1"/>
  <c r="L494" i="2"/>
  <c r="G494" i="2"/>
  <c r="T493" i="2"/>
  <c r="L493" i="2"/>
  <c r="K493" i="2" s="1"/>
  <c r="I493" i="2" s="1"/>
  <c r="J493" i="2" s="1"/>
  <c r="G493" i="2"/>
  <c r="T492" i="2"/>
  <c r="L492" i="2"/>
  <c r="K492" i="2" s="1"/>
  <c r="I492" i="2" s="1"/>
  <c r="J492" i="2" s="1"/>
  <c r="G492" i="2"/>
  <c r="T491" i="2"/>
  <c r="L491" i="2"/>
  <c r="G491" i="2"/>
  <c r="T490" i="2"/>
  <c r="K490" i="2" s="1"/>
  <c r="L490" i="2"/>
  <c r="G490" i="2"/>
  <c r="AE489" i="2"/>
  <c r="AD489" i="2"/>
  <c r="AC489" i="2"/>
  <c r="AB489" i="2"/>
  <c r="AA489" i="2"/>
  <c r="Z489" i="2"/>
  <c r="Y489" i="2"/>
  <c r="X489" i="2"/>
  <c r="W489" i="2"/>
  <c r="V489" i="2"/>
  <c r="U489" i="2"/>
  <c r="S489" i="2"/>
  <c r="R489" i="2"/>
  <c r="Q489" i="2"/>
  <c r="P489" i="2"/>
  <c r="O489" i="2"/>
  <c r="N489" i="2"/>
  <c r="M489" i="2"/>
  <c r="H489" i="2"/>
  <c r="F489" i="2"/>
  <c r="E489" i="2"/>
  <c r="T487" i="2"/>
  <c r="T486" i="2" s="1"/>
  <c r="L487" i="2"/>
  <c r="G487" i="2"/>
  <c r="AE486" i="2"/>
  <c r="AD486" i="2"/>
  <c r="AC486" i="2"/>
  <c r="AB486" i="2"/>
  <c r="AA486" i="2"/>
  <c r="AA471" i="2" s="1"/>
  <c r="Z486" i="2"/>
  <c r="Y486" i="2"/>
  <c r="X486" i="2"/>
  <c r="W486" i="2"/>
  <c r="V486" i="2"/>
  <c r="U486" i="2"/>
  <c r="S486" i="2"/>
  <c r="R486" i="2"/>
  <c r="Q486" i="2"/>
  <c r="P486" i="2"/>
  <c r="O486" i="2"/>
  <c r="N486" i="2"/>
  <c r="M486" i="2"/>
  <c r="L486" i="2"/>
  <c r="H486" i="2"/>
  <c r="F486" i="2"/>
  <c r="E486" i="2"/>
  <c r="T485" i="2"/>
  <c r="L485" i="2"/>
  <c r="G485" i="2"/>
  <c r="AE484" i="2"/>
  <c r="AD484" i="2"/>
  <c r="AC484" i="2"/>
  <c r="AB484" i="2"/>
  <c r="AA484" i="2"/>
  <c r="Z484" i="2"/>
  <c r="Y484" i="2"/>
  <c r="X484" i="2"/>
  <c r="W484" i="2"/>
  <c r="V484" i="2"/>
  <c r="U484" i="2"/>
  <c r="T484" i="2"/>
  <c r="S484" i="2"/>
  <c r="R484" i="2"/>
  <c r="Q484" i="2"/>
  <c r="P484" i="2"/>
  <c r="P471" i="2" s="1"/>
  <c r="O484" i="2"/>
  <c r="N484" i="2"/>
  <c r="M484" i="2"/>
  <c r="L484" i="2"/>
  <c r="H484" i="2"/>
  <c r="F484" i="2"/>
  <c r="E484" i="2"/>
  <c r="T483" i="2"/>
  <c r="K483" i="2" s="1"/>
  <c r="I483" i="2" s="1"/>
  <c r="J483" i="2" s="1"/>
  <c r="L483" i="2"/>
  <c r="G483" i="2"/>
  <c r="T482" i="2"/>
  <c r="L482" i="2"/>
  <c r="K482" i="2" s="1"/>
  <c r="I482" i="2" s="1"/>
  <c r="J482" i="2" s="1"/>
  <c r="G482" i="2"/>
  <c r="T481" i="2"/>
  <c r="L481" i="2"/>
  <c r="K481" i="2" s="1"/>
  <c r="I481" i="2" s="1"/>
  <c r="J481" i="2" s="1"/>
  <c r="G481" i="2"/>
  <c r="T480" i="2"/>
  <c r="L480" i="2"/>
  <c r="G480" i="2"/>
  <c r="T479" i="2"/>
  <c r="K479" i="2" s="1"/>
  <c r="I479" i="2" s="1"/>
  <c r="J479" i="2" s="1"/>
  <c r="L479" i="2"/>
  <c r="G479" i="2"/>
  <c r="T478" i="2"/>
  <c r="L478" i="2"/>
  <c r="K478" i="2" s="1"/>
  <c r="I478" i="2" s="1"/>
  <c r="J478" i="2" s="1"/>
  <c r="G478" i="2"/>
  <c r="T477" i="2"/>
  <c r="L477" i="2"/>
  <c r="K477" i="2" s="1"/>
  <c r="I477" i="2" s="1"/>
  <c r="J477" i="2" s="1"/>
  <c r="G477" i="2"/>
  <c r="T476" i="2"/>
  <c r="L476" i="2"/>
  <c r="G476" i="2"/>
  <c r="T475" i="2"/>
  <c r="K475" i="2" s="1"/>
  <c r="I475" i="2" s="1"/>
  <c r="J475" i="2" s="1"/>
  <c r="L475" i="2"/>
  <c r="G475" i="2"/>
  <c r="T474" i="2"/>
  <c r="L474" i="2"/>
  <c r="K474" i="2" s="1"/>
  <c r="I474" i="2" s="1"/>
  <c r="J474" i="2" s="1"/>
  <c r="G474" i="2"/>
  <c r="T473" i="2"/>
  <c r="L473" i="2"/>
  <c r="G473" i="2"/>
  <c r="AE472" i="2"/>
  <c r="AD472" i="2"/>
  <c r="AD471" i="2" s="1"/>
  <c r="AC472" i="2"/>
  <c r="AB472" i="2"/>
  <c r="AA472" i="2"/>
  <c r="Z472" i="2"/>
  <c r="Z471" i="2" s="1"/>
  <c r="Y472" i="2"/>
  <c r="X472" i="2"/>
  <c r="W472" i="2"/>
  <c r="V472" i="2"/>
  <c r="V471" i="2" s="1"/>
  <c r="U472" i="2"/>
  <c r="S472" i="2"/>
  <c r="S471" i="2" s="1"/>
  <c r="R472" i="2"/>
  <c r="Q472" i="2"/>
  <c r="Q471" i="2" s="1"/>
  <c r="P472" i="2"/>
  <c r="O472" i="2"/>
  <c r="O471" i="2" s="1"/>
  <c r="N472" i="2"/>
  <c r="M472" i="2"/>
  <c r="M471" i="2" s="1"/>
  <c r="H472" i="2"/>
  <c r="F472" i="2"/>
  <c r="E472" i="2"/>
  <c r="E471" i="2" s="1"/>
  <c r="R471" i="2"/>
  <c r="H471" i="2"/>
  <c r="T470" i="2"/>
  <c r="L470" i="2"/>
  <c r="K470" i="2"/>
  <c r="I470" i="2" s="1"/>
  <c r="G470" i="2"/>
  <c r="T469" i="2"/>
  <c r="L469" i="2"/>
  <c r="G469" i="2"/>
  <c r="T468" i="2"/>
  <c r="L468" i="2"/>
  <c r="K468" i="2" s="1"/>
  <c r="I468" i="2" s="1"/>
  <c r="J468" i="2" s="1"/>
  <c r="G468" i="2"/>
  <c r="T467" i="2"/>
  <c r="L467" i="2"/>
  <c r="K467" i="2" s="1"/>
  <c r="I467" i="2" s="1"/>
  <c r="J467" i="2" s="1"/>
  <c r="G467" i="2"/>
  <c r="T466" i="2"/>
  <c r="K466" i="2" s="1"/>
  <c r="I466" i="2" s="1"/>
  <c r="J466" i="2" s="1"/>
  <c r="L466" i="2"/>
  <c r="G466" i="2"/>
  <c r="T465" i="2"/>
  <c r="L465" i="2"/>
  <c r="G465" i="2"/>
  <c r="T464" i="2"/>
  <c r="L464" i="2"/>
  <c r="K464" i="2" s="1"/>
  <c r="I464" i="2" s="1"/>
  <c r="J464" i="2" s="1"/>
  <c r="G464" i="2"/>
  <c r="T463" i="2"/>
  <c r="L463" i="2"/>
  <c r="K463" i="2" s="1"/>
  <c r="I463" i="2" s="1"/>
  <c r="J463" i="2" s="1"/>
  <c r="G463" i="2"/>
  <c r="T462" i="2"/>
  <c r="K462" i="2" s="1"/>
  <c r="I462" i="2" s="1"/>
  <c r="L462" i="2"/>
  <c r="G462" i="2"/>
  <c r="T461" i="2"/>
  <c r="L461" i="2"/>
  <c r="G461" i="2"/>
  <c r="T460" i="2"/>
  <c r="L460" i="2"/>
  <c r="K460" i="2" s="1"/>
  <c r="I460" i="2" s="1"/>
  <c r="J460" i="2" s="1"/>
  <c r="G460" i="2"/>
  <c r="T459" i="2"/>
  <c r="L459" i="2"/>
  <c r="K459" i="2" s="1"/>
  <c r="I459" i="2" s="1"/>
  <c r="J459" i="2" s="1"/>
  <c r="G459" i="2"/>
  <c r="T458" i="2"/>
  <c r="L458" i="2"/>
  <c r="K458" i="2"/>
  <c r="I458" i="2" s="1"/>
  <c r="J458" i="2" s="1"/>
  <c r="G458" i="2"/>
  <c r="T457" i="2"/>
  <c r="L457" i="2"/>
  <c r="G457" i="2"/>
  <c r="T456" i="2"/>
  <c r="L456" i="2"/>
  <c r="K456" i="2" s="1"/>
  <c r="I456" i="2" s="1"/>
  <c r="J456" i="2" s="1"/>
  <c r="G456" i="2"/>
  <c r="T455" i="2"/>
  <c r="L455" i="2"/>
  <c r="K455" i="2" s="1"/>
  <c r="I455" i="2" s="1"/>
  <c r="J455" i="2" s="1"/>
  <c r="G455" i="2"/>
  <c r="T454" i="2"/>
  <c r="L454" i="2"/>
  <c r="K454" i="2"/>
  <c r="I454" i="2" s="1"/>
  <c r="G454" i="2"/>
  <c r="T453" i="2"/>
  <c r="L453" i="2"/>
  <c r="G453" i="2"/>
  <c r="T452" i="2"/>
  <c r="L452" i="2"/>
  <c r="K452" i="2" s="1"/>
  <c r="I452" i="2" s="1"/>
  <c r="G452" i="2"/>
  <c r="AE451" i="2"/>
  <c r="AE450" i="2" s="1"/>
  <c r="AD451" i="2"/>
  <c r="AD450" i="2" s="1"/>
  <c r="AC451" i="2"/>
  <c r="AB451" i="2"/>
  <c r="AB450" i="2" s="1"/>
  <c r="AA451" i="2"/>
  <c r="AA450" i="2" s="1"/>
  <c r="Z451" i="2"/>
  <c r="Y451" i="2"/>
  <c r="X451" i="2"/>
  <c r="X450" i="2" s="1"/>
  <c r="W451" i="2"/>
  <c r="W450" i="2" s="1"/>
  <c r="V451" i="2"/>
  <c r="V450" i="2" s="1"/>
  <c r="U451" i="2"/>
  <c r="S451" i="2"/>
  <c r="S450" i="2" s="1"/>
  <c r="R451" i="2"/>
  <c r="Q451" i="2"/>
  <c r="P451" i="2"/>
  <c r="O451" i="2"/>
  <c r="O450" i="2" s="1"/>
  <c r="N451" i="2"/>
  <c r="M451" i="2"/>
  <c r="M450" i="2" s="1"/>
  <c r="H451" i="2"/>
  <c r="G451" i="2"/>
  <c r="F451" i="2"/>
  <c r="E451" i="2"/>
  <c r="AC450" i="2"/>
  <c r="Z450" i="2"/>
  <c r="Y450" i="2"/>
  <c r="U450" i="2"/>
  <c r="R450" i="2"/>
  <c r="Q450" i="2"/>
  <c r="P450" i="2"/>
  <c r="N450" i="2"/>
  <c r="H450" i="2"/>
  <c r="F450" i="2"/>
  <c r="E450" i="2"/>
  <c r="T449" i="2"/>
  <c r="L449" i="2"/>
  <c r="K449" i="2" s="1"/>
  <c r="I449" i="2" s="1"/>
  <c r="J449" i="2" s="1"/>
  <c r="G449" i="2"/>
  <c r="T448" i="2"/>
  <c r="T447" i="2" s="1"/>
  <c r="L448" i="2"/>
  <c r="G448" i="2"/>
  <c r="AE447" i="2"/>
  <c r="AD447" i="2"/>
  <c r="AC447" i="2"/>
  <c r="AB447" i="2"/>
  <c r="AA447" i="2"/>
  <c r="Z447" i="2"/>
  <c r="Y447" i="2"/>
  <c r="X447" i="2"/>
  <c r="W447" i="2"/>
  <c r="V447" i="2"/>
  <c r="U447" i="2"/>
  <c r="S447" i="2"/>
  <c r="R447" i="2"/>
  <c r="Q447" i="2"/>
  <c r="P447" i="2"/>
  <c r="O447" i="2"/>
  <c r="N447" i="2"/>
  <c r="M447" i="2"/>
  <c r="H447" i="2"/>
  <c r="F447" i="2"/>
  <c r="E447" i="2"/>
  <c r="T446" i="2"/>
  <c r="T445" i="2" s="1"/>
  <c r="L446" i="2"/>
  <c r="G446" i="2"/>
  <c r="AE445" i="2"/>
  <c r="AD445" i="2"/>
  <c r="AC445" i="2"/>
  <c r="AB445" i="2"/>
  <c r="AA445" i="2"/>
  <c r="Z445" i="2"/>
  <c r="Y445" i="2"/>
  <c r="X445" i="2"/>
  <c r="W445" i="2"/>
  <c r="V445" i="2"/>
  <c r="U445" i="2"/>
  <c r="S445" i="2"/>
  <c r="R445" i="2"/>
  <c r="Q445" i="2"/>
  <c r="P445" i="2"/>
  <c r="O445" i="2"/>
  <c r="N445" i="2"/>
  <c r="M445" i="2"/>
  <c r="L445" i="2"/>
  <c r="H445" i="2"/>
  <c r="F445" i="2"/>
  <c r="G445" i="2" s="1"/>
  <c r="E445" i="2"/>
  <c r="T444" i="2"/>
  <c r="T443" i="2" s="1"/>
  <c r="L444" i="2"/>
  <c r="K444" i="2" s="1"/>
  <c r="G444" i="2"/>
  <c r="AE443" i="2"/>
  <c r="AD443" i="2"/>
  <c r="AC443" i="2"/>
  <c r="AB443" i="2"/>
  <c r="AA443" i="2"/>
  <c r="Z443" i="2"/>
  <c r="Y443" i="2"/>
  <c r="X443" i="2"/>
  <c r="W443" i="2"/>
  <c r="V443" i="2"/>
  <c r="U443" i="2"/>
  <c r="S443" i="2"/>
  <c r="R443" i="2"/>
  <c r="Q443" i="2"/>
  <c r="P443" i="2"/>
  <c r="O443" i="2"/>
  <c r="N443" i="2"/>
  <c r="M443" i="2"/>
  <c r="H443" i="2"/>
  <c r="G443" i="2"/>
  <c r="F443" i="2"/>
  <c r="E443" i="2"/>
  <c r="T442" i="2"/>
  <c r="L442" i="2"/>
  <c r="G442" i="2"/>
  <c r="T441" i="2"/>
  <c r="L441" i="2"/>
  <c r="K441" i="2" s="1"/>
  <c r="I441" i="2" s="1"/>
  <c r="J441" i="2" s="1"/>
  <c r="G441" i="2"/>
  <c r="T440" i="2"/>
  <c r="L440" i="2"/>
  <c r="G440" i="2"/>
  <c r="T439" i="2"/>
  <c r="L439" i="2"/>
  <c r="G439" i="2"/>
  <c r="AE438" i="2"/>
  <c r="AD438" i="2"/>
  <c r="AC438" i="2"/>
  <c r="AB438" i="2"/>
  <c r="AA438" i="2"/>
  <c r="Z438" i="2"/>
  <c r="Y438" i="2"/>
  <c r="X438" i="2"/>
  <c r="W438" i="2"/>
  <c r="V438" i="2"/>
  <c r="U438" i="2"/>
  <c r="S438" i="2"/>
  <c r="R438" i="2"/>
  <c r="Q438" i="2"/>
  <c r="P438" i="2"/>
  <c r="O438" i="2"/>
  <c r="N438" i="2"/>
  <c r="M438" i="2"/>
  <c r="H438" i="2"/>
  <c r="F438" i="2"/>
  <c r="E438" i="2"/>
  <c r="T437" i="2"/>
  <c r="L437" i="2"/>
  <c r="K437" i="2" s="1"/>
  <c r="I437" i="2" s="1"/>
  <c r="J437" i="2" s="1"/>
  <c r="G437" i="2"/>
  <c r="T436" i="2"/>
  <c r="L436" i="2"/>
  <c r="G436" i="2"/>
  <c r="T435" i="2"/>
  <c r="L435" i="2"/>
  <c r="K435" i="2" s="1"/>
  <c r="I435" i="2" s="1"/>
  <c r="J435" i="2" s="1"/>
  <c r="G435" i="2"/>
  <c r="T434" i="2"/>
  <c r="L434" i="2"/>
  <c r="G434" i="2"/>
  <c r="T433" i="2"/>
  <c r="L433" i="2"/>
  <c r="K433" i="2" s="1"/>
  <c r="I433" i="2" s="1"/>
  <c r="J433" i="2" s="1"/>
  <c r="G433" i="2"/>
  <c r="T432" i="2"/>
  <c r="L432" i="2"/>
  <c r="K432" i="2" s="1"/>
  <c r="I432" i="2" s="1"/>
  <c r="J432" i="2" s="1"/>
  <c r="G432" i="2"/>
  <c r="T431" i="2"/>
  <c r="L431" i="2"/>
  <c r="K431" i="2"/>
  <c r="I431" i="2" s="1"/>
  <c r="J431" i="2" s="1"/>
  <c r="G431" i="2"/>
  <c r="T430" i="2"/>
  <c r="L430" i="2"/>
  <c r="G430" i="2"/>
  <c r="T429" i="2"/>
  <c r="L429" i="2"/>
  <c r="K429" i="2" s="1"/>
  <c r="I429" i="2" s="1"/>
  <c r="J429" i="2" s="1"/>
  <c r="G429" i="2"/>
  <c r="T428" i="2"/>
  <c r="L428" i="2"/>
  <c r="G428" i="2"/>
  <c r="T427" i="2"/>
  <c r="L427" i="2"/>
  <c r="K427" i="2" s="1"/>
  <c r="I427" i="2" s="1"/>
  <c r="J427" i="2" s="1"/>
  <c r="G427" i="2"/>
  <c r="T426" i="2"/>
  <c r="L426" i="2"/>
  <c r="G426" i="2"/>
  <c r="T425" i="2"/>
  <c r="L425" i="2"/>
  <c r="K425" i="2" s="1"/>
  <c r="I425" i="2" s="1"/>
  <c r="J425" i="2" s="1"/>
  <c r="G425" i="2"/>
  <c r="T424" i="2"/>
  <c r="L424" i="2"/>
  <c r="K424" i="2" s="1"/>
  <c r="I424" i="2" s="1"/>
  <c r="J424" i="2" s="1"/>
  <c r="G424" i="2"/>
  <c r="T423" i="2"/>
  <c r="L423" i="2"/>
  <c r="K423" i="2"/>
  <c r="I423" i="2" s="1"/>
  <c r="J423" i="2" s="1"/>
  <c r="G423" i="2"/>
  <c r="T422" i="2"/>
  <c r="L422" i="2"/>
  <c r="G422" i="2"/>
  <c r="T421" i="2"/>
  <c r="L421" i="2"/>
  <c r="K421" i="2" s="1"/>
  <c r="I421" i="2" s="1"/>
  <c r="J421" i="2" s="1"/>
  <c r="G421" i="2"/>
  <c r="T420" i="2"/>
  <c r="T419" i="2" s="1"/>
  <c r="L420" i="2"/>
  <c r="L419" i="2" s="1"/>
  <c r="G420" i="2"/>
  <c r="AE419" i="2"/>
  <c r="AD419" i="2"/>
  <c r="AC419" i="2"/>
  <c r="AB419" i="2"/>
  <c r="AA419" i="2"/>
  <c r="Z419" i="2"/>
  <c r="Y419" i="2"/>
  <c r="X419" i="2"/>
  <c r="W419" i="2"/>
  <c r="V419" i="2"/>
  <c r="U419" i="2"/>
  <c r="S419" i="2"/>
  <c r="R419" i="2"/>
  <c r="Q419" i="2"/>
  <c r="P419" i="2"/>
  <c r="O419" i="2"/>
  <c r="N419" i="2"/>
  <c r="M419" i="2"/>
  <c r="H419" i="2"/>
  <c r="F419" i="2"/>
  <c r="G419" i="2" s="1"/>
  <c r="E419" i="2"/>
  <c r="T418" i="2"/>
  <c r="L418" i="2"/>
  <c r="G418" i="2"/>
  <c r="T417" i="2"/>
  <c r="L417" i="2"/>
  <c r="G417" i="2"/>
  <c r="AE416" i="2"/>
  <c r="AD416" i="2"/>
  <c r="AC416" i="2"/>
  <c r="AB416" i="2"/>
  <c r="AA416" i="2"/>
  <c r="Z416" i="2"/>
  <c r="Y416" i="2"/>
  <c r="X416" i="2"/>
  <c r="W416" i="2"/>
  <c r="V416" i="2"/>
  <c r="U416" i="2"/>
  <c r="T416" i="2"/>
  <c r="S416" i="2"/>
  <c r="R416" i="2"/>
  <c r="Q416" i="2"/>
  <c r="P416" i="2"/>
  <c r="O416" i="2"/>
  <c r="N416" i="2"/>
  <c r="M416" i="2"/>
  <c r="L416" i="2"/>
  <c r="H416" i="2"/>
  <c r="F416" i="2"/>
  <c r="E416" i="2"/>
  <c r="G416" i="2" s="1"/>
  <c r="T415" i="2"/>
  <c r="L415" i="2"/>
  <c r="G415" i="2"/>
  <c r="T414" i="2"/>
  <c r="L414" i="2"/>
  <c r="K414" i="2" s="1"/>
  <c r="I414" i="2" s="1"/>
  <c r="G414" i="2"/>
  <c r="AE413" i="2"/>
  <c r="AD413" i="2"/>
  <c r="AC413" i="2"/>
  <c r="AB413" i="2"/>
  <c r="AA413" i="2"/>
  <c r="Z413" i="2"/>
  <c r="Y413" i="2"/>
  <c r="X413" i="2"/>
  <c r="W413" i="2"/>
  <c r="V413" i="2"/>
  <c r="U413" i="2"/>
  <c r="S413" i="2"/>
  <c r="R413" i="2"/>
  <c r="Q413" i="2"/>
  <c r="P413" i="2"/>
  <c r="O413" i="2"/>
  <c r="N413" i="2"/>
  <c r="M413" i="2"/>
  <c r="H413" i="2"/>
  <c r="F413" i="2"/>
  <c r="G413" i="2" s="1"/>
  <c r="E413" i="2"/>
  <c r="T412" i="2"/>
  <c r="L412" i="2"/>
  <c r="G412" i="2"/>
  <c r="AE411" i="2"/>
  <c r="AD411" i="2"/>
  <c r="AC411" i="2"/>
  <c r="AB411" i="2"/>
  <c r="AA411" i="2"/>
  <c r="Z411" i="2"/>
  <c r="Y411" i="2"/>
  <c r="X411" i="2"/>
  <c r="W411" i="2"/>
  <c r="V411" i="2"/>
  <c r="U411" i="2"/>
  <c r="T411" i="2"/>
  <c r="S411" i="2"/>
  <c r="R411" i="2"/>
  <c r="Q411" i="2"/>
  <c r="P411" i="2"/>
  <c r="P388" i="2" s="1"/>
  <c r="O411" i="2"/>
  <c r="N411" i="2"/>
  <c r="M411" i="2"/>
  <c r="L411" i="2"/>
  <c r="H411" i="2"/>
  <c r="F411" i="2"/>
  <c r="E411" i="2"/>
  <c r="G411" i="2" s="1"/>
  <c r="T410" i="2"/>
  <c r="L410" i="2"/>
  <c r="G410" i="2"/>
  <c r="T409" i="2"/>
  <c r="L409" i="2"/>
  <c r="K409" i="2" s="1"/>
  <c r="I409" i="2" s="1"/>
  <c r="G409" i="2"/>
  <c r="AE408" i="2"/>
  <c r="AD408" i="2"/>
  <c r="AC408" i="2"/>
  <c r="AB408" i="2"/>
  <c r="AA408" i="2"/>
  <c r="Z408" i="2"/>
  <c r="Y408" i="2"/>
  <c r="X408" i="2"/>
  <c r="W408" i="2"/>
  <c r="V408" i="2"/>
  <c r="U408" i="2"/>
  <c r="S408" i="2"/>
  <c r="R408" i="2"/>
  <c r="Q408" i="2"/>
  <c r="P408" i="2"/>
  <c r="O408" i="2"/>
  <c r="N408" i="2"/>
  <c r="M408" i="2"/>
  <c r="H408" i="2"/>
  <c r="F408" i="2"/>
  <c r="G408" i="2" s="1"/>
  <c r="E408" i="2"/>
  <c r="T407" i="2"/>
  <c r="L407" i="2"/>
  <c r="G407" i="2"/>
  <c r="T406" i="2"/>
  <c r="T405" i="2" s="1"/>
  <c r="L406" i="2"/>
  <c r="G406" i="2"/>
  <c r="AE405" i="2"/>
  <c r="AD405" i="2"/>
  <c r="AC405" i="2"/>
  <c r="AB405" i="2"/>
  <c r="AA405" i="2"/>
  <c r="Z405" i="2"/>
  <c r="Y405" i="2"/>
  <c r="X405" i="2"/>
  <c r="W405" i="2"/>
  <c r="V405" i="2"/>
  <c r="U405" i="2"/>
  <c r="S405" i="2"/>
  <c r="R405" i="2"/>
  <c r="Q405" i="2"/>
  <c r="P405" i="2"/>
  <c r="O405" i="2"/>
  <c r="N405" i="2"/>
  <c r="M405" i="2"/>
  <c r="H405" i="2"/>
  <c r="F405" i="2"/>
  <c r="E405" i="2"/>
  <c r="T404" i="2"/>
  <c r="L404" i="2"/>
  <c r="K404" i="2" s="1"/>
  <c r="I404" i="2" s="1"/>
  <c r="J404" i="2" s="1"/>
  <c r="G404" i="2"/>
  <c r="L403" i="2"/>
  <c r="K403" i="2" s="1"/>
  <c r="I403" i="2" s="1"/>
  <c r="L402" i="2"/>
  <c r="K402" i="2" s="1"/>
  <c r="I402" i="2" s="1"/>
  <c r="L401" i="2"/>
  <c r="K401" i="2" s="1"/>
  <c r="I401" i="2" s="1"/>
  <c r="T400" i="2"/>
  <c r="L400" i="2"/>
  <c r="G400" i="2"/>
  <c r="T399" i="2"/>
  <c r="L399" i="2"/>
  <c r="G399" i="2"/>
  <c r="T398" i="2"/>
  <c r="K398" i="2" s="1"/>
  <c r="I398" i="2" s="1"/>
  <c r="J398" i="2" s="1"/>
  <c r="L398" i="2"/>
  <c r="G398" i="2"/>
  <c r="T397" i="2"/>
  <c r="T391" i="2" s="1"/>
  <c r="L397" i="2"/>
  <c r="G397" i="2"/>
  <c r="T396" i="2"/>
  <c r="L396" i="2"/>
  <c r="K396" i="2" s="1"/>
  <c r="I396" i="2" s="1"/>
  <c r="J396" i="2" s="1"/>
  <c r="G396" i="2"/>
  <c r="T395" i="2"/>
  <c r="L395" i="2"/>
  <c r="G395" i="2"/>
  <c r="L394" i="2"/>
  <c r="K394" i="2" s="1"/>
  <c r="I394" i="2" s="1"/>
  <c r="T393" i="2"/>
  <c r="L393" i="2"/>
  <c r="G393" i="2"/>
  <c r="L392" i="2"/>
  <c r="K392" i="2" s="1"/>
  <c r="I392" i="2" s="1"/>
  <c r="AE391" i="2"/>
  <c r="AD391" i="2"/>
  <c r="AC391" i="2"/>
  <c r="AB391" i="2"/>
  <c r="AA391" i="2"/>
  <c r="Z391" i="2"/>
  <c r="Y391" i="2"/>
  <c r="X391" i="2"/>
  <c r="W391" i="2"/>
  <c r="V391" i="2"/>
  <c r="U391" i="2"/>
  <c r="S391" i="2"/>
  <c r="R391" i="2"/>
  <c r="Q391" i="2"/>
  <c r="P391" i="2"/>
  <c r="O391" i="2"/>
  <c r="N391" i="2"/>
  <c r="M391" i="2"/>
  <c r="H391" i="2"/>
  <c r="F391" i="2"/>
  <c r="G391" i="2" s="1"/>
  <c r="E391" i="2"/>
  <c r="T390" i="2"/>
  <c r="T389" i="2" s="1"/>
  <c r="L390" i="2"/>
  <c r="G390" i="2"/>
  <c r="AE389" i="2"/>
  <c r="AD389" i="2"/>
  <c r="AC389" i="2"/>
  <c r="AB389" i="2"/>
  <c r="AA389" i="2"/>
  <c r="Z389" i="2"/>
  <c r="Y389" i="2"/>
  <c r="X389" i="2"/>
  <c r="X388" i="2" s="1"/>
  <c r="W389" i="2"/>
  <c r="V389" i="2"/>
  <c r="U389" i="2"/>
  <c r="S389" i="2"/>
  <c r="R389" i="2"/>
  <c r="Q389" i="2"/>
  <c r="P389" i="2"/>
  <c r="O389" i="2"/>
  <c r="O388" i="2" s="1"/>
  <c r="N389" i="2"/>
  <c r="M389" i="2"/>
  <c r="L389" i="2"/>
  <c r="H389" i="2"/>
  <c r="H388" i="2" s="1"/>
  <c r="F389" i="2"/>
  <c r="G389" i="2" s="1"/>
  <c r="E389" i="2"/>
  <c r="AB388" i="2"/>
  <c r="S388" i="2"/>
  <c r="T387" i="2"/>
  <c r="L387" i="2"/>
  <c r="G387" i="2"/>
  <c r="T386" i="2"/>
  <c r="L386" i="2"/>
  <c r="K386" i="2" s="1"/>
  <c r="G386" i="2"/>
  <c r="T385" i="2"/>
  <c r="L385" i="2"/>
  <c r="K385" i="2" s="1"/>
  <c r="I385" i="2" s="1"/>
  <c r="J385" i="2" s="1"/>
  <c r="G385" i="2"/>
  <c r="T384" i="2"/>
  <c r="L384" i="2"/>
  <c r="K384" i="2"/>
  <c r="I384" i="2" s="1"/>
  <c r="G384" i="2"/>
  <c r="AE383" i="2"/>
  <c r="AD383" i="2"/>
  <c r="AC383" i="2"/>
  <c r="AB383" i="2"/>
  <c r="AA383" i="2"/>
  <c r="Z383" i="2"/>
  <c r="Y383" i="2"/>
  <c r="X383" i="2"/>
  <c r="W383" i="2"/>
  <c r="V383" i="2"/>
  <c r="U383" i="2"/>
  <c r="S383" i="2"/>
  <c r="R383" i="2"/>
  <c r="Q383" i="2"/>
  <c r="P383" i="2"/>
  <c r="O383" i="2"/>
  <c r="N383" i="2"/>
  <c r="M383" i="2"/>
  <c r="H383" i="2"/>
  <c r="F383" i="2"/>
  <c r="G383" i="2" s="1"/>
  <c r="E383" i="2"/>
  <c r="T382" i="2"/>
  <c r="L382" i="2"/>
  <c r="K382" i="2" s="1"/>
  <c r="I382" i="2" s="1"/>
  <c r="J382" i="2" s="1"/>
  <c r="G382" i="2"/>
  <c r="T381" i="2"/>
  <c r="K381" i="2" s="1"/>
  <c r="I381" i="2" s="1"/>
  <c r="J381" i="2" s="1"/>
  <c r="L381" i="2"/>
  <c r="G381" i="2"/>
  <c r="T380" i="2"/>
  <c r="L380" i="2"/>
  <c r="K380" i="2" s="1"/>
  <c r="I380" i="2" s="1"/>
  <c r="J380" i="2" s="1"/>
  <c r="G380" i="2"/>
  <c r="T379" i="2"/>
  <c r="K379" i="2" s="1"/>
  <c r="L379" i="2"/>
  <c r="I379" i="2"/>
  <c r="J379" i="2" s="1"/>
  <c r="G379" i="2"/>
  <c r="T378" i="2"/>
  <c r="L378" i="2"/>
  <c r="K378" i="2"/>
  <c r="I378" i="2" s="1"/>
  <c r="J378" i="2" s="1"/>
  <c r="G378" i="2"/>
  <c r="T377" i="2"/>
  <c r="L377" i="2"/>
  <c r="G377" i="2"/>
  <c r="T376" i="2"/>
  <c r="L376" i="2"/>
  <c r="G376" i="2"/>
  <c r="T375" i="2"/>
  <c r="L375" i="2"/>
  <c r="G375" i="2"/>
  <c r="T374" i="2"/>
  <c r="L374" i="2"/>
  <c r="K374" i="2" s="1"/>
  <c r="I374" i="2" s="1"/>
  <c r="J374" i="2" s="1"/>
  <c r="G374" i="2"/>
  <c r="T373" i="2"/>
  <c r="L373" i="2"/>
  <c r="G373" i="2"/>
  <c r="T372" i="2"/>
  <c r="L372" i="2"/>
  <c r="G372" i="2"/>
  <c r="T371" i="2"/>
  <c r="L371" i="2"/>
  <c r="G371" i="2"/>
  <c r="AE370" i="2"/>
  <c r="AE363" i="2" s="1"/>
  <c r="AD370" i="2"/>
  <c r="AC370" i="2"/>
  <c r="AB370" i="2"/>
  <c r="AA370" i="2"/>
  <c r="Z370" i="2"/>
  <c r="Y370" i="2"/>
  <c r="X370" i="2"/>
  <c r="W370" i="2"/>
  <c r="V370" i="2"/>
  <c r="U370" i="2"/>
  <c r="S370" i="2"/>
  <c r="S363" i="2" s="1"/>
  <c r="R370" i="2"/>
  <c r="Q370" i="2"/>
  <c r="P370" i="2"/>
  <c r="O370" i="2"/>
  <c r="N370" i="2"/>
  <c r="M370" i="2"/>
  <c r="H370" i="2"/>
  <c r="F370" i="2"/>
  <c r="E370" i="2"/>
  <c r="T369" i="2"/>
  <c r="L369" i="2"/>
  <c r="K369" i="2"/>
  <c r="I369" i="2" s="1"/>
  <c r="J369" i="2" s="1"/>
  <c r="G369" i="2"/>
  <c r="T368" i="2"/>
  <c r="L368" i="2"/>
  <c r="G368" i="2"/>
  <c r="T367" i="2"/>
  <c r="L367" i="2"/>
  <c r="K367" i="2"/>
  <c r="I367" i="2" s="1"/>
  <c r="J367" i="2" s="1"/>
  <c r="G367" i="2"/>
  <c r="AE366" i="2"/>
  <c r="AD366" i="2"/>
  <c r="AC366" i="2"/>
  <c r="AB366" i="2"/>
  <c r="AA366" i="2"/>
  <c r="AA363" i="2" s="1"/>
  <c r="Z366" i="2"/>
  <c r="Y366" i="2"/>
  <c r="X366" i="2"/>
  <c r="W366" i="2"/>
  <c r="V366" i="2"/>
  <c r="U366" i="2"/>
  <c r="S366" i="2"/>
  <c r="R366" i="2"/>
  <c r="Q366" i="2"/>
  <c r="P366" i="2"/>
  <c r="O366" i="2"/>
  <c r="O363" i="2" s="1"/>
  <c r="N366" i="2"/>
  <c r="M366" i="2"/>
  <c r="H366" i="2"/>
  <c r="G366" i="2"/>
  <c r="F366" i="2"/>
  <c r="E366" i="2"/>
  <c r="T365" i="2"/>
  <c r="T364" i="2" s="1"/>
  <c r="L365" i="2"/>
  <c r="G365" i="2"/>
  <c r="AE364" i="2"/>
  <c r="AD364" i="2"/>
  <c r="AC364" i="2"/>
  <c r="AB364" i="2"/>
  <c r="AA364" i="2"/>
  <c r="Z364" i="2"/>
  <c r="Y364" i="2"/>
  <c r="X364" i="2"/>
  <c r="W364" i="2"/>
  <c r="V364" i="2"/>
  <c r="U364" i="2"/>
  <c r="S364" i="2"/>
  <c r="R364" i="2"/>
  <c r="Q364" i="2"/>
  <c r="P364" i="2"/>
  <c r="O364" i="2"/>
  <c r="N364" i="2"/>
  <c r="M364" i="2"/>
  <c r="H364" i="2"/>
  <c r="F364" i="2"/>
  <c r="G364" i="2" s="1"/>
  <c r="E364" i="2"/>
  <c r="W363" i="2"/>
  <c r="T362" i="2"/>
  <c r="L362" i="2"/>
  <c r="K362" i="2" s="1"/>
  <c r="I362" i="2" s="1"/>
  <c r="J362" i="2" s="1"/>
  <c r="G362" i="2"/>
  <c r="T361" i="2"/>
  <c r="L361" i="2"/>
  <c r="G361" i="2"/>
  <c r="T360" i="2"/>
  <c r="L360" i="2"/>
  <c r="G360" i="2"/>
  <c r="T359" i="2"/>
  <c r="L359" i="2"/>
  <c r="G359" i="2"/>
  <c r="T358" i="2"/>
  <c r="L358" i="2"/>
  <c r="K358" i="2" s="1"/>
  <c r="I358" i="2" s="1"/>
  <c r="J358" i="2" s="1"/>
  <c r="G358" i="2"/>
  <c r="T357" i="2"/>
  <c r="L357" i="2"/>
  <c r="G357" i="2"/>
  <c r="T356" i="2"/>
  <c r="L356" i="2"/>
  <c r="K356" i="2" s="1"/>
  <c r="I356" i="2" s="1"/>
  <c r="J356" i="2" s="1"/>
  <c r="G356" i="2"/>
  <c r="T355" i="2"/>
  <c r="L355" i="2"/>
  <c r="G355" i="2"/>
  <c r="T354" i="2"/>
  <c r="L354" i="2"/>
  <c r="K354" i="2"/>
  <c r="I354" i="2" s="1"/>
  <c r="J354" i="2" s="1"/>
  <c r="G354" i="2"/>
  <c r="T353" i="2"/>
  <c r="L353" i="2"/>
  <c r="G353" i="2"/>
  <c r="T352" i="2"/>
  <c r="L352" i="2"/>
  <c r="G352" i="2"/>
  <c r="T351" i="2"/>
  <c r="L351" i="2"/>
  <c r="G351" i="2"/>
  <c r="T350" i="2"/>
  <c r="L350" i="2"/>
  <c r="K350" i="2" s="1"/>
  <c r="I350" i="2" s="1"/>
  <c r="J350" i="2" s="1"/>
  <c r="G350" i="2"/>
  <c r="T349" i="2"/>
  <c r="L349" i="2"/>
  <c r="G349" i="2"/>
  <c r="T348" i="2"/>
  <c r="L348" i="2"/>
  <c r="G348" i="2"/>
  <c r="T347" i="2"/>
  <c r="L347" i="2"/>
  <c r="G347" i="2"/>
  <c r="T346" i="2"/>
  <c r="P346" i="2"/>
  <c r="L346" i="2" s="1"/>
  <c r="K346" i="2" s="1"/>
  <c r="I346" i="2" s="1"/>
  <c r="J346" i="2" s="1"/>
  <c r="G346" i="2"/>
  <c r="T345" i="2"/>
  <c r="P345" i="2"/>
  <c r="L345" i="2" s="1"/>
  <c r="K345" i="2" s="1"/>
  <c r="I345" i="2" s="1"/>
  <c r="J345" i="2" s="1"/>
  <c r="G345" i="2"/>
  <c r="T344" i="2"/>
  <c r="L344" i="2"/>
  <c r="G344" i="2"/>
  <c r="T343" i="2"/>
  <c r="L343" i="2"/>
  <c r="G343" i="2"/>
  <c r="T342" i="2"/>
  <c r="L342" i="2"/>
  <c r="G342" i="2"/>
  <c r="T341" i="2"/>
  <c r="L341" i="2"/>
  <c r="K341" i="2" s="1"/>
  <c r="I341" i="2" s="1"/>
  <c r="J341" i="2" s="1"/>
  <c r="G341" i="2"/>
  <c r="T340" i="2"/>
  <c r="L340" i="2"/>
  <c r="G340" i="2"/>
  <c r="T339" i="2"/>
  <c r="L339" i="2"/>
  <c r="L670" i="2" s="1"/>
  <c r="G339" i="2"/>
  <c r="AE338" i="2"/>
  <c r="AD338" i="2"/>
  <c r="AC338" i="2"/>
  <c r="AB338" i="2"/>
  <c r="AA338" i="2"/>
  <c r="Z338" i="2"/>
  <c r="Y338" i="2"/>
  <c r="X338" i="2"/>
  <c r="W338" i="2"/>
  <c r="V338" i="2"/>
  <c r="U338" i="2"/>
  <c r="S338" i="2"/>
  <c r="R338" i="2"/>
  <c r="Q338" i="2"/>
  <c r="P338" i="2"/>
  <c r="O338" i="2"/>
  <c r="N338" i="2"/>
  <c r="M338" i="2"/>
  <c r="H338" i="2"/>
  <c r="G338" i="2"/>
  <c r="F338" i="2"/>
  <c r="E338" i="2"/>
  <c r="T337" i="2"/>
  <c r="T334" i="2" s="1"/>
  <c r="L337" i="2"/>
  <c r="G337" i="2"/>
  <c r="T336" i="2"/>
  <c r="L336" i="2"/>
  <c r="K336" i="2" s="1"/>
  <c r="I336" i="2" s="1"/>
  <c r="J336" i="2" s="1"/>
  <c r="G336" i="2"/>
  <c r="T335" i="2"/>
  <c r="L335" i="2"/>
  <c r="K335" i="2" s="1"/>
  <c r="I335" i="2" s="1"/>
  <c r="G335" i="2"/>
  <c r="AE334" i="2"/>
  <c r="AD334" i="2"/>
  <c r="AC334" i="2"/>
  <c r="AB334" i="2"/>
  <c r="AA334" i="2"/>
  <c r="Z334" i="2"/>
  <c r="Y334" i="2"/>
  <c r="X334" i="2"/>
  <c r="W334" i="2"/>
  <c r="V334" i="2"/>
  <c r="U334" i="2"/>
  <c r="S334" i="2"/>
  <c r="R334" i="2"/>
  <c r="Q334" i="2"/>
  <c r="P334" i="2"/>
  <c r="O334" i="2"/>
  <c r="N334" i="2"/>
  <c r="M334" i="2"/>
  <c r="H334" i="2"/>
  <c r="F334" i="2"/>
  <c r="E334" i="2"/>
  <c r="T333" i="2"/>
  <c r="K333" i="2" s="1"/>
  <c r="L333" i="2"/>
  <c r="I333" i="2"/>
  <c r="J333" i="2" s="1"/>
  <c r="G333" i="2"/>
  <c r="T332" i="2"/>
  <c r="K332" i="2" s="1"/>
  <c r="L332" i="2"/>
  <c r="I332" i="2" s="1"/>
  <c r="J332" i="2" s="1"/>
  <c r="G332" i="2"/>
  <c r="T331" i="2"/>
  <c r="K331" i="2" s="1"/>
  <c r="L331" i="2"/>
  <c r="I331" i="2"/>
  <c r="J331" i="2" s="1"/>
  <c r="G331" i="2"/>
  <c r="T330" i="2"/>
  <c r="L330" i="2"/>
  <c r="I330" i="2" s="1"/>
  <c r="G330" i="2"/>
  <c r="AE329" i="2"/>
  <c r="AD329" i="2"/>
  <c r="AC329" i="2"/>
  <c r="AB329" i="2"/>
  <c r="AA329" i="2"/>
  <c r="Z329" i="2"/>
  <c r="Y329" i="2"/>
  <c r="X329" i="2"/>
  <c r="W329" i="2"/>
  <c r="V329" i="2"/>
  <c r="U329" i="2"/>
  <c r="T329" i="2"/>
  <c r="S329" i="2"/>
  <c r="R329" i="2"/>
  <c r="Q329" i="2"/>
  <c r="P329" i="2"/>
  <c r="O329" i="2"/>
  <c r="N329" i="2"/>
  <c r="M329" i="2"/>
  <c r="H329" i="2"/>
  <c r="G329" i="2"/>
  <c r="F329" i="2"/>
  <c r="E329" i="2"/>
  <c r="T328" i="2"/>
  <c r="L328" i="2"/>
  <c r="G328" i="2"/>
  <c r="T327" i="2"/>
  <c r="L327" i="2"/>
  <c r="G327" i="2"/>
  <c r="T326" i="2"/>
  <c r="L326" i="2"/>
  <c r="G326" i="2"/>
  <c r="T325" i="2"/>
  <c r="L325" i="2"/>
  <c r="K325" i="2"/>
  <c r="I325" i="2" s="1"/>
  <c r="J325" i="2" s="1"/>
  <c r="G325" i="2"/>
  <c r="T324" i="2"/>
  <c r="L324" i="2"/>
  <c r="G324" i="2"/>
  <c r="T323" i="2"/>
  <c r="L323" i="2"/>
  <c r="K323" i="2"/>
  <c r="I323" i="2" s="1"/>
  <c r="J323" i="2" s="1"/>
  <c r="G323" i="2"/>
  <c r="T322" i="2"/>
  <c r="L322" i="2"/>
  <c r="K322" i="2" s="1"/>
  <c r="I322" i="2" s="1"/>
  <c r="J322" i="2" s="1"/>
  <c r="G322" i="2"/>
  <c r="T321" i="2"/>
  <c r="L321" i="2"/>
  <c r="G321" i="2"/>
  <c r="T320" i="2"/>
  <c r="L320" i="2"/>
  <c r="G320" i="2"/>
  <c r="T319" i="2"/>
  <c r="L319" i="2"/>
  <c r="K319" i="2" s="1"/>
  <c r="I319" i="2" s="1"/>
  <c r="J319" i="2" s="1"/>
  <c r="G319" i="2"/>
  <c r="T318" i="2"/>
  <c r="L318" i="2"/>
  <c r="G318" i="2"/>
  <c r="T317" i="2"/>
  <c r="L317" i="2"/>
  <c r="G317" i="2"/>
  <c r="AE316" i="2"/>
  <c r="AD316" i="2"/>
  <c r="AC316" i="2"/>
  <c r="AB316" i="2"/>
  <c r="AA316" i="2"/>
  <c r="Z316" i="2"/>
  <c r="Y316" i="2"/>
  <c r="X316" i="2"/>
  <c r="W316" i="2"/>
  <c r="V316" i="2"/>
  <c r="U316" i="2"/>
  <c r="S316" i="2"/>
  <c r="R316" i="2"/>
  <c r="Q316" i="2"/>
  <c r="P316" i="2"/>
  <c r="O316" i="2"/>
  <c r="N316" i="2"/>
  <c r="M316" i="2"/>
  <c r="H316" i="2"/>
  <c r="F316" i="2"/>
  <c r="E316" i="2"/>
  <c r="T315" i="2"/>
  <c r="L315" i="2"/>
  <c r="G315" i="2"/>
  <c r="T314" i="2"/>
  <c r="L314" i="2"/>
  <c r="G314" i="2"/>
  <c r="T313" i="2"/>
  <c r="L313" i="2"/>
  <c r="G313" i="2"/>
  <c r="T312" i="2"/>
  <c r="L312" i="2"/>
  <c r="G312" i="2"/>
  <c r="T311" i="2"/>
  <c r="L311" i="2"/>
  <c r="G311" i="2"/>
  <c r="T310" i="2"/>
  <c r="L310" i="2"/>
  <c r="G310" i="2"/>
  <c r="T309" i="2"/>
  <c r="L309" i="2"/>
  <c r="G309" i="2"/>
  <c r="T308" i="2"/>
  <c r="L308" i="2"/>
  <c r="K308" i="2" s="1"/>
  <c r="I308" i="2" s="1"/>
  <c r="J308" i="2" s="1"/>
  <c r="G308" i="2"/>
  <c r="T307" i="2"/>
  <c r="L307" i="2"/>
  <c r="G307" i="2"/>
  <c r="T306" i="2"/>
  <c r="L306" i="2"/>
  <c r="G306" i="2"/>
  <c r="T305" i="2"/>
  <c r="L305" i="2"/>
  <c r="G305" i="2"/>
  <c r="T304" i="2"/>
  <c r="L304" i="2"/>
  <c r="K304" i="2" s="1"/>
  <c r="G304" i="2"/>
  <c r="AE303" i="2"/>
  <c r="AD303" i="2"/>
  <c r="AC303" i="2"/>
  <c r="AB303" i="2"/>
  <c r="AA303" i="2"/>
  <c r="Z303" i="2"/>
  <c r="Y303" i="2"/>
  <c r="X303" i="2"/>
  <c r="W303" i="2"/>
  <c r="V303" i="2"/>
  <c r="U303" i="2"/>
  <c r="S303" i="2"/>
  <c r="R303" i="2"/>
  <c r="Q303" i="2"/>
  <c r="P303" i="2"/>
  <c r="O303" i="2"/>
  <c r="N303" i="2"/>
  <c r="M303" i="2"/>
  <c r="H303" i="2"/>
  <c r="F303" i="2"/>
  <c r="E303" i="2"/>
  <c r="T302" i="2"/>
  <c r="L302" i="2"/>
  <c r="K302" i="2" s="1"/>
  <c r="I302" i="2" s="1"/>
  <c r="J302" i="2" s="1"/>
  <c r="G302" i="2"/>
  <c r="T301" i="2"/>
  <c r="K301" i="2" s="1"/>
  <c r="I301" i="2" s="1"/>
  <c r="J301" i="2" s="1"/>
  <c r="L301" i="2"/>
  <c r="G301" i="2"/>
  <c r="T300" i="2"/>
  <c r="L300" i="2"/>
  <c r="K300" i="2" s="1"/>
  <c r="I300" i="2" s="1"/>
  <c r="J300" i="2" s="1"/>
  <c r="G300" i="2"/>
  <c r="T299" i="2"/>
  <c r="L299" i="2"/>
  <c r="G299" i="2"/>
  <c r="T298" i="2"/>
  <c r="L298" i="2"/>
  <c r="K298" i="2"/>
  <c r="I298" i="2" s="1"/>
  <c r="J298" i="2" s="1"/>
  <c r="G298" i="2"/>
  <c r="T297" i="2"/>
  <c r="L297" i="2"/>
  <c r="G297" i="2"/>
  <c r="V296" i="2"/>
  <c r="T296" i="2" s="1"/>
  <c r="L296" i="2"/>
  <c r="G296" i="2"/>
  <c r="T295" i="2"/>
  <c r="L295" i="2"/>
  <c r="G295" i="2"/>
  <c r="T294" i="2"/>
  <c r="L294" i="2"/>
  <c r="K294" i="2" s="1"/>
  <c r="I294" i="2" s="1"/>
  <c r="J294" i="2" s="1"/>
  <c r="G294" i="2"/>
  <c r="T293" i="2"/>
  <c r="L293" i="2"/>
  <c r="K293" i="2" s="1"/>
  <c r="I293" i="2" s="1"/>
  <c r="J293" i="2" s="1"/>
  <c r="G293" i="2"/>
  <c r="T292" i="2"/>
  <c r="L292" i="2"/>
  <c r="G292" i="2"/>
  <c r="T291" i="2"/>
  <c r="L291" i="2"/>
  <c r="G291" i="2"/>
  <c r="T290" i="2"/>
  <c r="L290" i="2"/>
  <c r="K290" i="2" s="1"/>
  <c r="G290" i="2"/>
  <c r="AE289" i="2"/>
  <c r="AD289" i="2"/>
  <c r="AC289" i="2"/>
  <c r="AB289" i="2"/>
  <c r="AA289" i="2"/>
  <c r="Z289" i="2"/>
  <c r="Y289" i="2"/>
  <c r="X289" i="2"/>
  <c r="W289" i="2"/>
  <c r="U289" i="2"/>
  <c r="S289" i="2"/>
  <c r="R289" i="2"/>
  <c r="Q289" i="2"/>
  <c r="P289" i="2"/>
  <c r="O289" i="2"/>
  <c r="N289" i="2"/>
  <c r="M289" i="2"/>
  <c r="L289" i="2"/>
  <c r="H289" i="2"/>
  <c r="F289" i="2"/>
  <c r="E289" i="2"/>
  <c r="T288" i="2"/>
  <c r="K288" i="2" s="1"/>
  <c r="L288" i="2"/>
  <c r="G288" i="2"/>
  <c r="T287" i="2"/>
  <c r="L287" i="2"/>
  <c r="G287" i="2"/>
  <c r="AE286" i="2"/>
  <c r="AD286" i="2"/>
  <c r="AC286" i="2"/>
  <c r="AB286" i="2"/>
  <c r="AA286" i="2"/>
  <c r="Z286" i="2"/>
  <c r="Y286" i="2"/>
  <c r="X286" i="2"/>
  <c r="W286" i="2"/>
  <c r="V286" i="2"/>
  <c r="U286" i="2"/>
  <c r="S286" i="2"/>
  <c r="R286" i="2"/>
  <c r="Q286" i="2"/>
  <c r="P286" i="2"/>
  <c r="O286" i="2"/>
  <c r="N286" i="2"/>
  <c r="M286" i="2"/>
  <c r="H286" i="2"/>
  <c r="F286" i="2"/>
  <c r="G286" i="2" s="1"/>
  <c r="E286" i="2"/>
  <c r="T285" i="2"/>
  <c r="L285" i="2"/>
  <c r="K285" i="2" s="1"/>
  <c r="G285" i="2"/>
  <c r="AE284" i="2"/>
  <c r="AD284" i="2"/>
  <c r="AC284" i="2"/>
  <c r="AB284" i="2"/>
  <c r="AA284" i="2"/>
  <c r="Z284" i="2"/>
  <c r="Y284" i="2"/>
  <c r="X284" i="2"/>
  <c r="W284" i="2"/>
  <c r="V284" i="2"/>
  <c r="U284" i="2"/>
  <c r="T284" i="2"/>
  <c r="S284" i="2"/>
  <c r="R284" i="2"/>
  <c r="Q284" i="2"/>
  <c r="P284" i="2"/>
  <c r="O284" i="2"/>
  <c r="N284" i="2"/>
  <c r="M284" i="2"/>
  <c r="L284" i="2"/>
  <c r="H284" i="2"/>
  <c r="F284" i="2"/>
  <c r="E284" i="2"/>
  <c r="T283" i="2"/>
  <c r="K283" i="2" s="1"/>
  <c r="I283" i="2" s="1"/>
  <c r="J283" i="2" s="1"/>
  <c r="L283" i="2"/>
  <c r="G283" i="2"/>
  <c r="T282" i="2"/>
  <c r="L282" i="2"/>
  <c r="K282" i="2" s="1"/>
  <c r="I282" i="2" s="1"/>
  <c r="J282" i="2" s="1"/>
  <c r="G282" i="2"/>
  <c r="T281" i="2"/>
  <c r="L281" i="2"/>
  <c r="G281" i="2"/>
  <c r="T280" i="2"/>
  <c r="L280" i="2"/>
  <c r="K280" i="2"/>
  <c r="I280" i="2" s="1"/>
  <c r="J280" i="2" s="1"/>
  <c r="G280" i="2"/>
  <c r="T279" i="2"/>
  <c r="L279" i="2"/>
  <c r="G279" i="2"/>
  <c r="T278" i="2"/>
  <c r="K278" i="2" s="1"/>
  <c r="I278" i="2" s="1"/>
  <c r="J278" i="2" s="1"/>
  <c r="L278" i="2"/>
  <c r="G278" i="2"/>
  <c r="V277" i="2"/>
  <c r="T277" i="2" s="1"/>
  <c r="L277" i="2"/>
  <c r="G277" i="2"/>
  <c r="T276" i="2"/>
  <c r="L276" i="2"/>
  <c r="K276" i="2" s="1"/>
  <c r="I276" i="2" s="1"/>
  <c r="J276" i="2" s="1"/>
  <c r="G276" i="2"/>
  <c r="T275" i="2"/>
  <c r="L275" i="2"/>
  <c r="K275" i="2" s="1"/>
  <c r="I275" i="2" s="1"/>
  <c r="J275" i="2" s="1"/>
  <c r="G275" i="2"/>
  <c r="T274" i="2"/>
  <c r="L274" i="2"/>
  <c r="K274" i="2" s="1"/>
  <c r="I274" i="2" s="1"/>
  <c r="J274" i="2" s="1"/>
  <c r="G274" i="2"/>
  <c r="T273" i="2"/>
  <c r="L273" i="2"/>
  <c r="G273" i="2"/>
  <c r="T272" i="2"/>
  <c r="L272" i="2"/>
  <c r="K272" i="2" s="1"/>
  <c r="I272" i="2" s="1"/>
  <c r="J272" i="2" s="1"/>
  <c r="G272" i="2"/>
  <c r="T271" i="2"/>
  <c r="L271" i="2"/>
  <c r="K271" i="2" s="1"/>
  <c r="I271" i="2" s="1"/>
  <c r="J271" i="2" s="1"/>
  <c r="G271" i="2"/>
  <c r="T270" i="2"/>
  <c r="L270" i="2"/>
  <c r="K270" i="2" s="1"/>
  <c r="I270" i="2" s="1"/>
  <c r="J270" i="2" s="1"/>
  <c r="G270" i="2"/>
  <c r="T269" i="2"/>
  <c r="L269" i="2"/>
  <c r="G269" i="2"/>
  <c r="T268" i="2"/>
  <c r="L268" i="2"/>
  <c r="K268" i="2" s="1"/>
  <c r="I268" i="2" s="1"/>
  <c r="J268" i="2" s="1"/>
  <c r="G268" i="2"/>
  <c r="T267" i="2"/>
  <c r="L267" i="2"/>
  <c r="G267" i="2"/>
  <c r="T266" i="2"/>
  <c r="L266" i="2"/>
  <c r="K266" i="2" s="1"/>
  <c r="G266" i="2"/>
  <c r="AE265" i="2"/>
  <c r="AD265" i="2"/>
  <c r="AC265" i="2"/>
  <c r="AB265" i="2"/>
  <c r="AA265" i="2"/>
  <c r="Z265" i="2"/>
  <c r="Y265" i="2"/>
  <c r="X265" i="2"/>
  <c r="W265" i="2"/>
  <c r="U265" i="2"/>
  <c r="S265" i="2"/>
  <c r="R265" i="2"/>
  <c r="Q265" i="2"/>
  <c r="P265" i="2"/>
  <c r="O265" i="2"/>
  <c r="N265" i="2"/>
  <c r="M265" i="2"/>
  <c r="H265" i="2"/>
  <c r="F265" i="2"/>
  <c r="G265" i="2" s="1"/>
  <c r="E265" i="2"/>
  <c r="T264" i="2"/>
  <c r="L264" i="2"/>
  <c r="G264" i="2"/>
  <c r="T263" i="2"/>
  <c r="L263" i="2"/>
  <c r="K263" i="2"/>
  <c r="I263" i="2" s="1"/>
  <c r="J263" i="2" s="1"/>
  <c r="G263" i="2"/>
  <c r="T262" i="2"/>
  <c r="K262" i="2" s="1"/>
  <c r="I262" i="2" s="1"/>
  <c r="J262" i="2" s="1"/>
  <c r="L262" i="2"/>
  <c r="G262" i="2"/>
  <c r="T261" i="2"/>
  <c r="L261" i="2"/>
  <c r="K261" i="2" s="1"/>
  <c r="I261" i="2" s="1"/>
  <c r="J261" i="2" s="1"/>
  <c r="G261" i="2"/>
  <c r="T260" i="2"/>
  <c r="K260" i="2" s="1"/>
  <c r="I260" i="2" s="1"/>
  <c r="J260" i="2" s="1"/>
  <c r="L260" i="2"/>
  <c r="G260" i="2"/>
  <c r="T259" i="2"/>
  <c r="L259" i="2"/>
  <c r="G259" i="2"/>
  <c r="T258" i="2"/>
  <c r="L258" i="2"/>
  <c r="G258" i="2"/>
  <c r="T257" i="2"/>
  <c r="L257" i="2"/>
  <c r="K257" i="2"/>
  <c r="I257" i="2" s="1"/>
  <c r="J257" i="2" s="1"/>
  <c r="G257" i="2"/>
  <c r="T256" i="2"/>
  <c r="L256" i="2"/>
  <c r="G256" i="2"/>
  <c r="T255" i="2"/>
  <c r="L255" i="2"/>
  <c r="K255" i="2"/>
  <c r="I255" i="2" s="1"/>
  <c r="J255" i="2" s="1"/>
  <c r="G255" i="2"/>
  <c r="T254" i="2"/>
  <c r="K254" i="2" s="1"/>
  <c r="I254" i="2" s="1"/>
  <c r="J254" i="2" s="1"/>
  <c r="L254" i="2"/>
  <c r="G254" i="2"/>
  <c r="T253" i="2"/>
  <c r="L253" i="2"/>
  <c r="G253" i="2"/>
  <c r="T252" i="2"/>
  <c r="K252" i="2" s="1"/>
  <c r="I252" i="2" s="1"/>
  <c r="J252" i="2" s="1"/>
  <c r="L252" i="2"/>
  <c r="G252" i="2"/>
  <c r="AB251" i="2"/>
  <c r="AB662" i="2" s="1"/>
  <c r="L251" i="2"/>
  <c r="G251" i="2"/>
  <c r="T250" i="2"/>
  <c r="L250" i="2"/>
  <c r="K250" i="2" s="1"/>
  <c r="I250" i="2" s="1"/>
  <c r="J250" i="2" s="1"/>
  <c r="G250" i="2"/>
  <c r="T249" i="2"/>
  <c r="L249" i="2"/>
  <c r="G249" i="2"/>
  <c r="T248" i="2"/>
  <c r="L248" i="2"/>
  <c r="G248" i="2"/>
  <c r="T247" i="2"/>
  <c r="L247" i="2"/>
  <c r="K247" i="2" s="1"/>
  <c r="I247" i="2" s="1"/>
  <c r="J247" i="2" s="1"/>
  <c r="G247" i="2"/>
  <c r="T246" i="2"/>
  <c r="L246" i="2"/>
  <c r="K246" i="2" s="1"/>
  <c r="I246" i="2" s="1"/>
  <c r="J246" i="2" s="1"/>
  <c r="G246" i="2"/>
  <c r="T245" i="2"/>
  <c r="L245" i="2"/>
  <c r="K245" i="2" s="1"/>
  <c r="I245" i="2" s="1"/>
  <c r="J245" i="2" s="1"/>
  <c r="G245" i="2"/>
  <c r="T244" i="2"/>
  <c r="P244" i="2"/>
  <c r="G244" i="2"/>
  <c r="T243" i="2"/>
  <c r="L243" i="2"/>
  <c r="K243" i="2" s="1"/>
  <c r="I243" i="2" s="1"/>
  <c r="J243" i="2" s="1"/>
  <c r="G243" i="2"/>
  <c r="AE242" i="2"/>
  <c r="AD242" i="2"/>
  <c r="AC242" i="2"/>
  <c r="AA242" i="2"/>
  <c r="Z242" i="2"/>
  <c r="Y242" i="2"/>
  <c r="X242" i="2"/>
  <c r="W242" i="2"/>
  <c r="V242" i="2"/>
  <c r="U242" i="2"/>
  <c r="S242" i="2"/>
  <c r="R242" i="2"/>
  <c r="Q242" i="2"/>
  <c r="O242" i="2"/>
  <c r="N242" i="2"/>
  <c r="M242" i="2"/>
  <c r="H242" i="2"/>
  <c r="F242" i="2"/>
  <c r="E242" i="2"/>
  <c r="G242" i="2" s="1"/>
  <c r="T241" i="2"/>
  <c r="L241" i="2"/>
  <c r="G241" i="2"/>
  <c r="T240" i="2"/>
  <c r="L240" i="2"/>
  <c r="K240" i="2" s="1"/>
  <c r="I240" i="2" s="1"/>
  <c r="J240" i="2" s="1"/>
  <c r="G240" i="2"/>
  <c r="T239" i="2"/>
  <c r="L239" i="2"/>
  <c r="K239" i="2" s="1"/>
  <c r="I239" i="2" s="1"/>
  <c r="J239" i="2" s="1"/>
  <c r="G239" i="2"/>
  <c r="T238" i="2"/>
  <c r="L238" i="2"/>
  <c r="G238" i="2"/>
  <c r="X237" i="2"/>
  <c r="T237" i="2" s="1"/>
  <c r="K237" i="2" s="1"/>
  <c r="I237" i="2" s="1"/>
  <c r="J237" i="2" s="1"/>
  <c r="L237" i="2"/>
  <c r="G237" i="2"/>
  <c r="T236" i="2"/>
  <c r="K236" i="2" s="1"/>
  <c r="I236" i="2" s="1"/>
  <c r="J236" i="2" s="1"/>
  <c r="L236" i="2"/>
  <c r="G236" i="2"/>
  <c r="T235" i="2"/>
  <c r="L235" i="2"/>
  <c r="G235" i="2"/>
  <c r="T234" i="2"/>
  <c r="L234" i="2"/>
  <c r="K234" i="2"/>
  <c r="I234" i="2" s="1"/>
  <c r="J234" i="2" s="1"/>
  <c r="G234" i="2"/>
  <c r="T233" i="2"/>
  <c r="L233" i="2"/>
  <c r="K233" i="2" s="1"/>
  <c r="I233" i="2" s="1"/>
  <c r="J233" i="2" s="1"/>
  <c r="G233" i="2"/>
  <c r="T232" i="2"/>
  <c r="L232" i="2"/>
  <c r="G232" i="2"/>
  <c r="T231" i="2"/>
  <c r="L231" i="2"/>
  <c r="G231" i="2"/>
  <c r="T230" i="2"/>
  <c r="L230" i="2"/>
  <c r="K230" i="2"/>
  <c r="I230" i="2"/>
  <c r="J230" i="2" s="1"/>
  <c r="G230" i="2"/>
  <c r="T229" i="2"/>
  <c r="L229" i="2"/>
  <c r="K229" i="2"/>
  <c r="I229" i="2" s="1"/>
  <c r="G229" i="2"/>
  <c r="AE228" i="2"/>
  <c r="AD228" i="2"/>
  <c r="AC228" i="2"/>
  <c r="AB228" i="2"/>
  <c r="AA228" i="2"/>
  <c r="Z228" i="2"/>
  <c r="Y228" i="2"/>
  <c r="W228" i="2"/>
  <c r="V228" i="2"/>
  <c r="U228" i="2"/>
  <c r="S228" i="2"/>
  <c r="R228" i="2"/>
  <c r="Q228" i="2"/>
  <c r="P228" i="2"/>
  <c r="O228" i="2"/>
  <c r="N228" i="2"/>
  <c r="M228" i="2"/>
  <c r="H228" i="2"/>
  <c r="F228" i="2"/>
  <c r="E228" i="2"/>
  <c r="G228" i="2" s="1"/>
  <c r="T227" i="2"/>
  <c r="L227" i="2"/>
  <c r="G227" i="2"/>
  <c r="T226" i="2"/>
  <c r="L226" i="2"/>
  <c r="K226" i="2" s="1"/>
  <c r="I226" i="2" s="1"/>
  <c r="J226" i="2" s="1"/>
  <c r="G226" i="2"/>
  <c r="T225" i="2"/>
  <c r="L225" i="2"/>
  <c r="K225" i="2" s="1"/>
  <c r="I225" i="2" s="1"/>
  <c r="J225" i="2" s="1"/>
  <c r="G225" i="2"/>
  <c r="T224" i="2"/>
  <c r="L224" i="2"/>
  <c r="G224" i="2"/>
  <c r="T223" i="2"/>
  <c r="L223" i="2"/>
  <c r="G223" i="2"/>
  <c r="T222" i="2"/>
  <c r="L222" i="2"/>
  <c r="K222" i="2" s="1"/>
  <c r="I222" i="2" s="1"/>
  <c r="J222" i="2" s="1"/>
  <c r="G222" i="2"/>
  <c r="T221" i="2"/>
  <c r="L221" i="2"/>
  <c r="K221" i="2" s="1"/>
  <c r="I221" i="2" s="1"/>
  <c r="J221" i="2" s="1"/>
  <c r="G221" i="2"/>
  <c r="T220" i="2"/>
  <c r="L220" i="2"/>
  <c r="G220" i="2"/>
  <c r="T219" i="2"/>
  <c r="L219" i="2"/>
  <c r="G219" i="2"/>
  <c r="T218" i="2"/>
  <c r="L218" i="2"/>
  <c r="K218" i="2" s="1"/>
  <c r="I218" i="2" s="1"/>
  <c r="J218" i="2" s="1"/>
  <c r="G218" i="2"/>
  <c r="V217" i="2"/>
  <c r="U217" i="2"/>
  <c r="U206" i="2" s="1"/>
  <c r="L217" i="2"/>
  <c r="G217" i="2"/>
  <c r="T216" i="2"/>
  <c r="L216" i="2"/>
  <c r="K216" i="2" s="1"/>
  <c r="I216" i="2" s="1"/>
  <c r="J216" i="2" s="1"/>
  <c r="G216" i="2"/>
  <c r="T215" i="2"/>
  <c r="L215" i="2"/>
  <c r="G215" i="2"/>
  <c r="U214" i="2"/>
  <c r="T214" i="2" s="1"/>
  <c r="K214" i="2" s="1"/>
  <c r="I214" i="2" s="1"/>
  <c r="J214" i="2" s="1"/>
  <c r="L214" i="2"/>
  <c r="G214" i="2"/>
  <c r="T213" i="2"/>
  <c r="K213" i="2" s="1"/>
  <c r="I213" i="2" s="1"/>
  <c r="J213" i="2" s="1"/>
  <c r="L213" i="2"/>
  <c r="G213" i="2"/>
  <c r="T212" i="2"/>
  <c r="L212" i="2"/>
  <c r="K212" i="2" s="1"/>
  <c r="I212" i="2" s="1"/>
  <c r="J212" i="2" s="1"/>
  <c r="G212" i="2"/>
  <c r="T211" i="2"/>
  <c r="L211" i="2"/>
  <c r="K211" i="2"/>
  <c r="I211" i="2" s="1"/>
  <c r="J211" i="2" s="1"/>
  <c r="G211" i="2"/>
  <c r="T210" i="2"/>
  <c r="K210" i="2" s="1"/>
  <c r="I210" i="2" s="1"/>
  <c r="J210" i="2" s="1"/>
  <c r="L210" i="2"/>
  <c r="G210" i="2"/>
  <c r="T209" i="2"/>
  <c r="K209" i="2" s="1"/>
  <c r="I209" i="2" s="1"/>
  <c r="J209" i="2" s="1"/>
  <c r="L209" i="2"/>
  <c r="G209" i="2"/>
  <c r="T208" i="2"/>
  <c r="L208" i="2"/>
  <c r="K208" i="2" s="1"/>
  <c r="I208" i="2" s="1"/>
  <c r="J208" i="2" s="1"/>
  <c r="G208" i="2"/>
  <c r="T207" i="2"/>
  <c r="L207" i="2"/>
  <c r="K207" i="2" s="1"/>
  <c r="I207" i="2" s="1"/>
  <c r="G207" i="2"/>
  <c r="AE206" i="2"/>
  <c r="AD206" i="2"/>
  <c r="AC206" i="2"/>
  <c r="AB206" i="2"/>
  <c r="AA206" i="2"/>
  <c r="Z206" i="2"/>
  <c r="Y206" i="2"/>
  <c r="X206" i="2"/>
  <c r="W206" i="2"/>
  <c r="V206" i="2"/>
  <c r="S206" i="2"/>
  <c r="R206" i="2"/>
  <c r="Q206" i="2"/>
  <c r="P206" i="2"/>
  <c r="O206" i="2"/>
  <c r="N206" i="2"/>
  <c r="M206" i="2"/>
  <c r="H206" i="2"/>
  <c r="F206" i="2"/>
  <c r="E206" i="2"/>
  <c r="F205" i="2"/>
  <c r="T204" i="2"/>
  <c r="T203" i="2" s="1"/>
  <c r="L204" i="2"/>
  <c r="L203" i="2" s="1"/>
  <c r="J204" i="2"/>
  <c r="AE203" i="2"/>
  <c r="AD203" i="2"/>
  <c r="AC203" i="2"/>
  <c r="AB203" i="2"/>
  <c r="AA203" i="2"/>
  <c r="Z203" i="2"/>
  <c r="Y203" i="2"/>
  <c r="X203" i="2"/>
  <c r="W203" i="2"/>
  <c r="V203" i="2"/>
  <c r="U203" i="2"/>
  <c r="S203" i="2"/>
  <c r="R203" i="2"/>
  <c r="Q203" i="2"/>
  <c r="P203" i="2"/>
  <c r="O203" i="2"/>
  <c r="N203" i="2"/>
  <c r="M203" i="2"/>
  <c r="I203" i="2"/>
  <c r="H203" i="2"/>
  <c r="F203" i="2"/>
  <c r="E203" i="2"/>
  <c r="T202" i="2"/>
  <c r="L202" i="2"/>
  <c r="G202" i="2"/>
  <c r="T201" i="2"/>
  <c r="T200" i="2" s="1"/>
  <c r="L201" i="2"/>
  <c r="L200" i="2" s="1"/>
  <c r="G201" i="2"/>
  <c r="AE200" i="2"/>
  <c r="AD200" i="2"/>
  <c r="AD197" i="2" s="1"/>
  <c r="AC200" i="2"/>
  <c r="AB200" i="2"/>
  <c r="AA200" i="2"/>
  <c r="Z200" i="2"/>
  <c r="Z197" i="2" s="1"/>
  <c r="Y200" i="2"/>
  <c r="X200" i="2"/>
  <c r="W200" i="2"/>
  <c r="V200" i="2"/>
  <c r="V197" i="2" s="1"/>
  <c r="U200" i="2"/>
  <c r="S200" i="2"/>
  <c r="R200" i="2"/>
  <c r="R197" i="2" s="1"/>
  <c r="Q200" i="2"/>
  <c r="P200" i="2"/>
  <c r="O200" i="2"/>
  <c r="N200" i="2"/>
  <c r="M200" i="2"/>
  <c r="H200" i="2"/>
  <c r="F200" i="2"/>
  <c r="G200" i="2" s="1"/>
  <c r="E200" i="2"/>
  <c r="T199" i="2"/>
  <c r="T198" i="2" s="1"/>
  <c r="L199" i="2"/>
  <c r="K199" i="2"/>
  <c r="I199" i="2" s="1"/>
  <c r="G199" i="2"/>
  <c r="AE198" i="2"/>
  <c r="AD198" i="2"/>
  <c r="AC198" i="2"/>
  <c r="AB198" i="2"/>
  <c r="AB197" i="2" s="1"/>
  <c r="AA198" i="2"/>
  <c r="Z198" i="2"/>
  <c r="Y198" i="2"/>
  <c r="X198" i="2"/>
  <c r="W198" i="2"/>
  <c r="V198" i="2"/>
  <c r="U198" i="2"/>
  <c r="S198" i="2"/>
  <c r="R198" i="2"/>
  <c r="Q198" i="2"/>
  <c r="P198" i="2"/>
  <c r="P197" i="2" s="1"/>
  <c r="O198" i="2"/>
  <c r="N198" i="2"/>
  <c r="M198" i="2"/>
  <c r="L198" i="2"/>
  <c r="H198" i="2"/>
  <c r="H197" i="2" s="1"/>
  <c r="F198" i="2"/>
  <c r="E198" i="2"/>
  <c r="E197" i="2" s="1"/>
  <c r="X197" i="2"/>
  <c r="N197" i="2"/>
  <c r="T196" i="2"/>
  <c r="T665" i="2" s="1"/>
  <c r="L196" i="2"/>
  <c r="G196" i="2"/>
  <c r="L195" i="2"/>
  <c r="K195" i="2" s="1"/>
  <c r="I195" i="2" s="1"/>
  <c r="AE194" i="2"/>
  <c r="AE193" i="2" s="1"/>
  <c r="AD194" i="2"/>
  <c r="AD193" i="2" s="1"/>
  <c r="AC194" i="2"/>
  <c r="AB194" i="2"/>
  <c r="AA194" i="2"/>
  <c r="Z194" i="2"/>
  <c r="Z193" i="2" s="1"/>
  <c r="Y194" i="2"/>
  <c r="X194" i="2"/>
  <c r="W194" i="2"/>
  <c r="W193" i="2" s="1"/>
  <c r="V194" i="2"/>
  <c r="V193" i="2" s="1"/>
  <c r="U194" i="2"/>
  <c r="S194" i="2"/>
  <c r="R194" i="2"/>
  <c r="R193" i="2" s="1"/>
  <c r="Q194" i="2"/>
  <c r="Q193" i="2" s="1"/>
  <c r="P194" i="2"/>
  <c r="P193" i="2" s="1"/>
  <c r="O194" i="2"/>
  <c r="N194" i="2"/>
  <c r="N193" i="2" s="1"/>
  <c r="M194" i="2"/>
  <c r="H194" i="2"/>
  <c r="F194" i="2"/>
  <c r="E194" i="2"/>
  <c r="E193" i="2" s="1"/>
  <c r="AC193" i="2"/>
  <c r="AB193" i="2"/>
  <c r="AA193" i="2"/>
  <c r="Y193" i="2"/>
  <c r="X193" i="2"/>
  <c r="U193" i="2"/>
  <c r="S193" i="2"/>
  <c r="O193" i="2"/>
  <c r="M193" i="2"/>
  <c r="H193" i="2"/>
  <c r="T192" i="2"/>
  <c r="L192" i="2"/>
  <c r="G192" i="2"/>
  <c r="T191" i="2"/>
  <c r="L191" i="2"/>
  <c r="K191" i="2" s="1"/>
  <c r="I191" i="2" s="1"/>
  <c r="J191" i="2" s="1"/>
  <c r="G191" i="2"/>
  <c r="T190" i="2"/>
  <c r="L190" i="2"/>
  <c r="G190" i="2"/>
  <c r="T189" i="2"/>
  <c r="L189" i="2"/>
  <c r="G189" i="2"/>
  <c r="T188" i="2"/>
  <c r="T187" i="2" s="1"/>
  <c r="L188" i="2"/>
  <c r="G188" i="2"/>
  <c r="AE187" i="2"/>
  <c r="AD187" i="2"/>
  <c r="AC187" i="2"/>
  <c r="AB187" i="2"/>
  <c r="AA187" i="2"/>
  <c r="Z187" i="2"/>
  <c r="Y187" i="2"/>
  <c r="X187" i="2"/>
  <c r="W187" i="2"/>
  <c r="V187" i="2"/>
  <c r="U187" i="2"/>
  <c r="S187" i="2"/>
  <c r="R187" i="2"/>
  <c r="Q187" i="2"/>
  <c r="P187" i="2"/>
  <c r="O187" i="2"/>
  <c r="N187" i="2"/>
  <c r="M187" i="2"/>
  <c r="H187" i="2"/>
  <c r="F187" i="2"/>
  <c r="E187" i="2"/>
  <c r="T186" i="2"/>
  <c r="L186" i="2"/>
  <c r="G186" i="2"/>
  <c r="T185" i="2"/>
  <c r="L185" i="2"/>
  <c r="K185" i="2" s="1"/>
  <c r="I185" i="2" s="1"/>
  <c r="J185" i="2" s="1"/>
  <c r="G185" i="2"/>
  <c r="T184" i="2"/>
  <c r="L184" i="2"/>
  <c r="G184" i="2"/>
  <c r="T183" i="2"/>
  <c r="L183" i="2"/>
  <c r="G183" i="2"/>
  <c r="T182" i="2"/>
  <c r="T181" i="2" s="1"/>
  <c r="L182" i="2"/>
  <c r="G182" i="2"/>
  <c r="AE181" i="2"/>
  <c r="AD181" i="2"/>
  <c r="AC181" i="2"/>
  <c r="AB181" i="2"/>
  <c r="AA181" i="2"/>
  <c r="Z181" i="2"/>
  <c r="Y181" i="2"/>
  <c r="X181" i="2"/>
  <c r="W181" i="2"/>
  <c r="V181" i="2"/>
  <c r="U181" i="2"/>
  <c r="S181" i="2"/>
  <c r="R181" i="2"/>
  <c r="Q181" i="2"/>
  <c r="P181" i="2"/>
  <c r="O181" i="2"/>
  <c r="N181" i="2"/>
  <c r="M181" i="2"/>
  <c r="H181" i="2"/>
  <c r="F181" i="2"/>
  <c r="E181" i="2"/>
  <c r="L180" i="2"/>
  <c r="K180" i="2" s="1"/>
  <c r="I180" i="2" s="1"/>
  <c r="T179" i="2"/>
  <c r="L179" i="2"/>
  <c r="G179" i="2"/>
  <c r="T178" i="2"/>
  <c r="L178" i="2"/>
  <c r="G178" i="2"/>
  <c r="T177" i="2"/>
  <c r="T175" i="2" s="1"/>
  <c r="L177" i="2"/>
  <c r="G177" i="2"/>
  <c r="T176" i="2"/>
  <c r="L176" i="2"/>
  <c r="K176" i="2" s="1"/>
  <c r="G176" i="2"/>
  <c r="AE175" i="2"/>
  <c r="AD175" i="2"/>
  <c r="AC175" i="2"/>
  <c r="AB175" i="2"/>
  <c r="AA175" i="2"/>
  <c r="Z175" i="2"/>
  <c r="Y175" i="2"/>
  <c r="X175" i="2"/>
  <c r="W175" i="2"/>
  <c r="V175" i="2"/>
  <c r="U175" i="2"/>
  <c r="S175" i="2"/>
  <c r="R175" i="2"/>
  <c r="Q175" i="2"/>
  <c r="P175" i="2"/>
  <c r="O175" i="2"/>
  <c r="N175" i="2"/>
  <c r="M175" i="2"/>
  <c r="H175" i="2"/>
  <c r="F175" i="2"/>
  <c r="E175" i="2"/>
  <c r="T174" i="2"/>
  <c r="K174" i="2" s="1"/>
  <c r="I174" i="2" s="1"/>
  <c r="J174" i="2" s="1"/>
  <c r="L174" i="2"/>
  <c r="G174" i="2"/>
  <c r="T173" i="2"/>
  <c r="L173" i="2"/>
  <c r="K173" i="2" s="1"/>
  <c r="I173" i="2" s="1"/>
  <c r="J173" i="2" s="1"/>
  <c r="G173" i="2"/>
  <c r="T172" i="2"/>
  <c r="K172" i="2" s="1"/>
  <c r="I172" i="2" s="1"/>
  <c r="J172" i="2" s="1"/>
  <c r="L172" i="2"/>
  <c r="G172" i="2"/>
  <c r="T171" i="2"/>
  <c r="L171" i="2"/>
  <c r="K171" i="2" s="1"/>
  <c r="I171" i="2" s="1"/>
  <c r="J171" i="2" s="1"/>
  <c r="G171" i="2"/>
  <c r="T170" i="2"/>
  <c r="L170" i="2"/>
  <c r="G170" i="2"/>
  <c r="T169" i="2"/>
  <c r="L169" i="2"/>
  <c r="K169" i="2"/>
  <c r="I169" i="2" s="1"/>
  <c r="J169" i="2" s="1"/>
  <c r="G169" i="2"/>
  <c r="T168" i="2"/>
  <c r="K168" i="2" s="1"/>
  <c r="I168" i="2" s="1"/>
  <c r="J168" i="2" s="1"/>
  <c r="L168" i="2"/>
  <c r="G168" i="2"/>
  <c r="L167" i="2"/>
  <c r="K167" i="2" s="1"/>
  <c r="I167" i="2" s="1"/>
  <c r="T166" i="2"/>
  <c r="L166" i="2"/>
  <c r="G166" i="2"/>
  <c r="T165" i="2"/>
  <c r="L165" i="2"/>
  <c r="G165" i="2"/>
  <c r="T164" i="2"/>
  <c r="L164" i="2"/>
  <c r="G164" i="2"/>
  <c r="T163" i="2"/>
  <c r="L163" i="2"/>
  <c r="K163" i="2" s="1"/>
  <c r="I163" i="2" s="1"/>
  <c r="J163" i="2" s="1"/>
  <c r="G163" i="2"/>
  <c r="T162" i="2"/>
  <c r="L162" i="2"/>
  <c r="G162" i="2"/>
  <c r="T161" i="2"/>
  <c r="L161" i="2"/>
  <c r="G161" i="2"/>
  <c r="T160" i="2"/>
  <c r="T158" i="2" s="1"/>
  <c r="L160" i="2"/>
  <c r="G160" i="2"/>
  <c r="T159" i="2"/>
  <c r="L159" i="2"/>
  <c r="K159" i="2" s="1"/>
  <c r="G159" i="2"/>
  <c r="AE158" i="2"/>
  <c r="AD158" i="2"/>
  <c r="AC158" i="2"/>
  <c r="AB158" i="2"/>
  <c r="AA158" i="2"/>
  <c r="Z158" i="2"/>
  <c r="Y158" i="2"/>
  <c r="X158" i="2"/>
  <c r="W158" i="2"/>
  <c r="V158" i="2"/>
  <c r="U158" i="2"/>
  <c r="S158" i="2"/>
  <c r="R158" i="2"/>
  <c r="Q158" i="2"/>
  <c r="P158" i="2"/>
  <c r="O158" i="2"/>
  <c r="N158" i="2"/>
  <c r="M158" i="2"/>
  <c r="H158" i="2"/>
  <c r="F158" i="2"/>
  <c r="E158" i="2"/>
  <c r="T157" i="2"/>
  <c r="T676" i="2" s="1"/>
  <c r="L157" i="2"/>
  <c r="L676" i="2" s="1"/>
  <c r="T156" i="2"/>
  <c r="L156" i="2"/>
  <c r="J156" i="2"/>
  <c r="G156" i="2"/>
  <c r="AE155" i="2"/>
  <c r="AE154" i="2" s="1"/>
  <c r="AD155" i="2"/>
  <c r="AC155" i="2"/>
  <c r="AB155" i="2"/>
  <c r="AB154" i="2" s="1"/>
  <c r="AA155" i="2"/>
  <c r="AA154" i="2" s="1"/>
  <c r="Z155" i="2"/>
  <c r="Y155" i="2"/>
  <c r="X155" i="2"/>
  <c r="W155" i="2"/>
  <c r="W154" i="2" s="1"/>
  <c r="V155" i="2"/>
  <c r="U155" i="2"/>
  <c r="S155" i="2"/>
  <c r="R155" i="2"/>
  <c r="Q155" i="2"/>
  <c r="P155" i="2"/>
  <c r="P154" i="2" s="1"/>
  <c r="O155" i="2"/>
  <c r="N155" i="2"/>
  <c r="N154" i="2" s="1"/>
  <c r="M155" i="2"/>
  <c r="I155" i="2"/>
  <c r="H155" i="2"/>
  <c r="H154" i="2" s="1"/>
  <c r="F155" i="2"/>
  <c r="E155" i="2"/>
  <c r="R154" i="2"/>
  <c r="F154" i="2"/>
  <c r="T153" i="2"/>
  <c r="K153" i="2" s="1"/>
  <c r="L153" i="2"/>
  <c r="J153" i="2"/>
  <c r="G153" i="2"/>
  <c r="T152" i="2"/>
  <c r="L152" i="2"/>
  <c r="J152" i="2"/>
  <c r="G152" i="2"/>
  <c r="T151" i="2"/>
  <c r="L151" i="2"/>
  <c r="K151" i="2" s="1"/>
  <c r="J151" i="2"/>
  <c r="G151" i="2"/>
  <c r="T150" i="2"/>
  <c r="L150" i="2"/>
  <c r="J150" i="2"/>
  <c r="G150" i="2"/>
  <c r="T149" i="2"/>
  <c r="K149" i="2" s="1"/>
  <c r="L149" i="2"/>
  <c r="J149" i="2"/>
  <c r="G149" i="2"/>
  <c r="T148" i="2"/>
  <c r="L148" i="2"/>
  <c r="J148" i="2"/>
  <c r="G148" i="2"/>
  <c r="T147" i="2"/>
  <c r="L147" i="2"/>
  <c r="K147" i="2"/>
  <c r="J147" i="2"/>
  <c r="G147" i="2"/>
  <c r="T146" i="2"/>
  <c r="L146" i="2"/>
  <c r="K146" i="2" s="1"/>
  <c r="J146" i="2"/>
  <c r="G146" i="2"/>
  <c r="AE145" i="2"/>
  <c r="AD145" i="2"/>
  <c r="AC145" i="2"/>
  <c r="AB145" i="2"/>
  <c r="AA145" i="2"/>
  <c r="Z145" i="2"/>
  <c r="Z140" i="2" s="1"/>
  <c r="Y145" i="2"/>
  <c r="X145" i="2"/>
  <c r="W145" i="2"/>
  <c r="V145" i="2"/>
  <c r="U145" i="2"/>
  <c r="S145" i="2"/>
  <c r="R145" i="2"/>
  <c r="Q145" i="2"/>
  <c r="P145" i="2"/>
  <c r="O145" i="2"/>
  <c r="N145" i="2"/>
  <c r="M145" i="2"/>
  <c r="I145" i="2"/>
  <c r="H145" i="2"/>
  <c r="F145" i="2"/>
  <c r="F140" i="2" s="1"/>
  <c r="E145" i="2"/>
  <c r="T144" i="2"/>
  <c r="L144" i="2"/>
  <c r="J144" i="2"/>
  <c r="G144" i="2"/>
  <c r="T143" i="2"/>
  <c r="L143" i="2"/>
  <c r="J143" i="2"/>
  <c r="G143" i="2"/>
  <c r="T142" i="2"/>
  <c r="L142" i="2"/>
  <c r="L141" i="2" s="1"/>
  <c r="J142" i="2"/>
  <c r="G142" i="2"/>
  <c r="AE141" i="2"/>
  <c r="AE140" i="2" s="1"/>
  <c r="AD141" i="2"/>
  <c r="AC141" i="2"/>
  <c r="AC140" i="2" s="1"/>
  <c r="AB141" i="2"/>
  <c r="AA141" i="2"/>
  <c r="AA140" i="2" s="1"/>
  <c r="Z141" i="2"/>
  <c r="Y141" i="2"/>
  <c r="Y140" i="2" s="1"/>
  <c r="X141" i="2"/>
  <c r="X140" i="2" s="1"/>
  <c r="W141" i="2"/>
  <c r="W140" i="2" s="1"/>
  <c r="V141" i="2"/>
  <c r="U141" i="2"/>
  <c r="U140" i="2" s="1"/>
  <c r="S141" i="2"/>
  <c r="S140" i="2" s="1"/>
  <c r="R141" i="2"/>
  <c r="Q141" i="2"/>
  <c r="P141" i="2"/>
  <c r="P140" i="2" s="1"/>
  <c r="O141" i="2"/>
  <c r="O140" i="2" s="1"/>
  <c r="N141" i="2"/>
  <c r="N140" i="2" s="1"/>
  <c r="M141" i="2"/>
  <c r="I141" i="2"/>
  <c r="J141" i="2" s="1"/>
  <c r="H141" i="2"/>
  <c r="F141" i="2"/>
  <c r="E141" i="2"/>
  <c r="AD140" i="2"/>
  <c r="AB140" i="2"/>
  <c r="V140" i="2"/>
  <c r="R140" i="2"/>
  <c r="H140" i="2"/>
  <c r="T139" i="2"/>
  <c r="K139" i="2" s="1"/>
  <c r="I139" i="2" s="1"/>
  <c r="J139" i="2" s="1"/>
  <c r="L139" i="2"/>
  <c r="G139" i="2"/>
  <c r="T138" i="2"/>
  <c r="L138" i="2"/>
  <c r="K138" i="2" s="1"/>
  <c r="I138" i="2" s="1"/>
  <c r="J138" i="2" s="1"/>
  <c r="G138" i="2"/>
  <c r="T137" i="2"/>
  <c r="T136" i="2" s="1"/>
  <c r="L137" i="2"/>
  <c r="G137" i="2"/>
  <c r="AE136" i="2"/>
  <c r="AD136" i="2"/>
  <c r="AC136" i="2"/>
  <c r="AB136" i="2"/>
  <c r="AA136" i="2"/>
  <c r="Z136" i="2"/>
  <c r="Y136" i="2"/>
  <c r="X136" i="2"/>
  <c r="W136" i="2"/>
  <c r="V136" i="2"/>
  <c r="U136" i="2"/>
  <c r="S136" i="2"/>
  <c r="R136" i="2"/>
  <c r="Q136" i="2"/>
  <c r="P136" i="2"/>
  <c r="O136" i="2"/>
  <c r="N136" i="2"/>
  <c r="M136" i="2"/>
  <c r="L136" i="2"/>
  <c r="H136" i="2"/>
  <c r="F136" i="2"/>
  <c r="E136" i="2"/>
  <c r="T135" i="2"/>
  <c r="L135" i="2"/>
  <c r="G135" i="2"/>
  <c r="T134" i="2"/>
  <c r="L134" i="2"/>
  <c r="G134" i="2"/>
  <c r="T133" i="2"/>
  <c r="L133" i="2"/>
  <c r="G133" i="2"/>
  <c r="T132" i="2"/>
  <c r="L132" i="2"/>
  <c r="K132" i="2" s="1"/>
  <c r="I132" i="2" s="1"/>
  <c r="J132" i="2" s="1"/>
  <c r="G132" i="2"/>
  <c r="T131" i="2"/>
  <c r="L131" i="2"/>
  <c r="G131" i="2"/>
  <c r="T130" i="2"/>
  <c r="L130" i="2"/>
  <c r="G130" i="2"/>
  <c r="AD129" i="2"/>
  <c r="T129" i="2" s="1"/>
  <c r="L129" i="2"/>
  <c r="G129" i="2"/>
  <c r="T128" i="2"/>
  <c r="K128" i="2" s="1"/>
  <c r="I128" i="2" s="1"/>
  <c r="J128" i="2" s="1"/>
  <c r="L128" i="2"/>
  <c r="G128" i="2"/>
  <c r="AD127" i="2"/>
  <c r="T127" i="2" s="1"/>
  <c r="L127" i="2"/>
  <c r="G127" i="2"/>
  <c r="T126" i="2"/>
  <c r="L126" i="2"/>
  <c r="K126" i="2" s="1"/>
  <c r="I126" i="2" s="1"/>
  <c r="J126" i="2" s="1"/>
  <c r="G126" i="2"/>
  <c r="T125" i="2"/>
  <c r="L125" i="2"/>
  <c r="G125" i="2"/>
  <c r="T124" i="2"/>
  <c r="L124" i="2"/>
  <c r="G124" i="2"/>
  <c r="T123" i="2"/>
  <c r="L123" i="2"/>
  <c r="G123" i="2"/>
  <c r="T122" i="2"/>
  <c r="L122" i="2"/>
  <c r="K122" i="2" s="1"/>
  <c r="I122" i="2" s="1"/>
  <c r="J122" i="2" s="1"/>
  <c r="G122" i="2"/>
  <c r="T121" i="2"/>
  <c r="L121" i="2"/>
  <c r="G121" i="2"/>
  <c r="T120" i="2"/>
  <c r="L120" i="2"/>
  <c r="G120" i="2"/>
  <c r="T119" i="2"/>
  <c r="L119" i="2"/>
  <c r="G119" i="2"/>
  <c r="AE118" i="2"/>
  <c r="AD118" i="2"/>
  <c r="AC118" i="2"/>
  <c r="AB118" i="2"/>
  <c r="AA118" i="2"/>
  <c r="Z118" i="2"/>
  <c r="Y118" i="2"/>
  <c r="X118" i="2"/>
  <c r="W118" i="2"/>
  <c r="V118" i="2"/>
  <c r="U118" i="2"/>
  <c r="S118" i="2"/>
  <c r="R118" i="2"/>
  <c r="Q118" i="2"/>
  <c r="P118" i="2"/>
  <c r="O118" i="2"/>
  <c r="N118" i="2"/>
  <c r="M118" i="2"/>
  <c r="H118" i="2"/>
  <c r="F118" i="2"/>
  <c r="E118" i="2"/>
  <c r="T117" i="2"/>
  <c r="K117" i="2" s="1"/>
  <c r="I117" i="2" s="1"/>
  <c r="J117" i="2" s="1"/>
  <c r="L117" i="2"/>
  <c r="G117" i="2"/>
  <c r="T116" i="2"/>
  <c r="L116" i="2"/>
  <c r="K116" i="2" s="1"/>
  <c r="I116" i="2" s="1"/>
  <c r="J116" i="2" s="1"/>
  <c r="G116" i="2"/>
  <c r="T115" i="2"/>
  <c r="K115" i="2" s="1"/>
  <c r="I115" i="2" s="1"/>
  <c r="J115" i="2" s="1"/>
  <c r="L115" i="2"/>
  <c r="G115" i="2"/>
  <c r="T114" i="2"/>
  <c r="L114" i="2"/>
  <c r="K114" i="2" s="1"/>
  <c r="I114" i="2" s="1"/>
  <c r="J114" i="2" s="1"/>
  <c r="G114" i="2"/>
  <c r="T113" i="2"/>
  <c r="L113" i="2"/>
  <c r="G113" i="2"/>
  <c r="AE112" i="2"/>
  <c r="AD112" i="2"/>
  <c r="AC112" i="2"/>
  <c r="AB112" i="2"/>
  <c r="AA112" i="2"/>
  <c r="Z112" i="2"/>
  <c r="Y112" i="2"/>
  <c r="X112" i="2"/>
  <c r="W112" i="2"/>
  <c r="V112" i="2"/>
  <c r="U112" i="2"/>
  <c r="S112" i="2"/>
  <c r="R112" i="2"/>
  <c r="Q112" i="2"/>
  <c r="P112" i="2"/>
  <c r="O112" i="2"/>
  <c r="N112" i="2"/>
  <c r="M112" i="2"/>
  <c r="L112" i="2"/>
  <c r="H112" i="2"/>
  <c r="F112" i="2"/>
  <c r="E112" i="2"/>
  <c r="G112" i="2" s="1"/>
  <c r="T111" i="2"/>
  <c r="L111" i="2"/>
  <c r="J111" i="2"/>
  <c r="G111" i="2"/>
  <c r="T110" i="2"/>
  <c r="L110" i="2"/>
  <c r="K110" i="2" s="1"/>
  <c r="J110" i="2"/>
  <c r="G110" i="2"/>
  <c r="AE109" i="2"/>
  <c r="AD109" i="2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I109" i="2"/>
  <c r="H109" i="2"/>
  <c r="F109" i="2"/>
  <c r="G109" i="2" s="1"/>
  <c r="E109" i="2"/>
  <c r="J109" i="2" s="1"/>
  <c r="T108" i="2"/>
  <c r="L108" i="2"/>
  <c r="K108" i="2"/>
  <c r="I108" i="2" s="1"/>
  <c r="T107" i="2"/>
  <c r="K107" i="2" s="1"/>
  <c r="I107" i="2" s="1"/>
  <c r="J107" i="2" s="1"/>
  <c r="L107" i="2"/>
  <c r="G107" i="2"/>
  <c r="T106" i="2"/>
  <c r="K106" i="2" s="1"/>
  <c r="I106" i="2" s="1"/>
  <c r="J106" i="2" s="1"/>
  <c r="L106" i="2"/>
  <c r="G106" i="2"/>
  <c r="T105" i="2"/>
  <c r="L105" i="2"/>
  <c r="K105" i="2" s="1"/>
  <c r="I105" i="2" s="1"/>
  <c r="J105" i="2" s="1"/>
  <c r="G105" i="2"/>
  <c r="T104" i="2"/>
  <c r="P104" i="2"/>
  <c r="P662" i="2" s="1"/>
  <c r="G104" i="2"/>
  <c r="T103" i="2"/>
  <c r="L103" i="2"/>
  <c r="G103" i="2"/>
  <c r="T102" i="2"/>
  <c r="L102" i="2"/>
  <c r="K102" i="2" s="1"/>
  <c r="I102" i="2" s="1"/>
  <c r="T101" i="2"/>
  <c r="L101" i="2"/>
  <c r="G101" i="2"/>
  <c r="T100" i="2"/>
  <c r="L100" i="2"/>
  <c r="G100" i="2"/>
  <c r="T99" i="2"/>
  <c r="L99" i="2"/>
  <c r="K99" i="2" s="1"/>
  <c r="I99" i="2" s="1"/>
  <c r="J99" i="2" s="1"/>
  <c r="G99" i="2"/>
  <c r="T98" i="2"/>
  <c r="L98" i="2"/>
  <c r="K98" i="2" s="1"/>
  <c r="I98" i="2" s="1"/>
  <c r="J98" i="2" s="1"/>
  <c r="G98" i="2"/>
  <c r="T97" i="2"/>
  <c r="L97" i="2"/>
  <c r="G97" i="2"/>
  <c r="T96" i="2"/>
  <c r="L96" i="2"/>
  <c r="G96" i="2"/>
  <c r="T95" i="2"/>
  <c r="L95" i="2"/>
  <c r="K95" i="2" s="1"/>
  <c r="I95" i="2" s="1"/>
  <c r="J95" i="2" s="1"/>
  <c r="G95" i="2"/>
  <c r="T94" i="2"/>
  <c r="L94" i="2"/>
  <c r="K94" i="2" s="1"/>
  <c r="I94" i="2" s="1"/>
  <c r="J94" i="2" s="1"/>
  <c r="G94" i="2"/>
  <c r="T93" i="2"/>
  <c r="L93" i="2"/>
  <c r="G93" i="2"/>
  <c r="T92" i="2"/>
  <c r="L92" i="2"/>
  <c r="G92" i="2"/>
  <c r="T91" i="2"/>
  <c r="L91" i="2"/>
  <c r="K91" i="2" s="1"/>
  <c r="I91" i="2" s="1"/>
  <c r="J91" i="2" s="1"/>
  <c r="G91" i="2"/>
  <c r="T90" i="2"/>
  <c r="P90" i="2"/>
  <c r="G90" i="2"/>
  <c r="T89" i="2"/>
  <c r="P89" i="2"/>
  <c r="L89" i="2"/>
  <c r="G89" i="2"/>
  <c r="T88" i="2"/>
  <c r="P88" i="2"/>
  <c r="G88" i="2"/>
  <c r="T87" i="2"/>
  <c r="P87" i="2"/>
  <c r="L87" i="2" s="1"/>
  <c r="H87" i="2"/>
  <c r="H661" i="2" s="1"/>
  <c r="G87" i="2"/>
  <c r="T86" i="2"/>
  <c r="K86" i="2" s="1"/>
  <c r="I86" i="2" s="1"/>
  <c r="L86" i="2"/>
  <c r="G86" i="2"/>
  <c r="AE85" i="2"/>
  <c r="AD85" i="2"/>
  <c r="AC85" i="2"/>
  <c r="AB85" i="2"/>
  <c r="AA85" i="2"/>
  <c r="Z85" i="2"/>
  <c r="Y85" i="2"/>
  <c r="X85" i="2"/>
  <c r="W85" i="2"/>
  <c r="V85" i="2"/>
  <c r="U85" i="2"/>
  <c r="S85" i="2"/>
  <c r="R85" i="2"/>
  <c r="Q85" i="2"/>
  <c r="O85" i="2"/>
  <c r="N85" i="2"/>
  <c r="M85" i="2"/>
  <c r="F85" i="2"/>
  <c r="G85" i="2" s="1"/>
  <c r="E85" i="2"/>
  <c r="T84" i="2"/>
  <c r="L84" i="2"/>
  <c r="J84" i="2"/>
  <c r="G84" i="2"/>
  <c r="T83" i="2"/>
  <c r="K83" i="2" s="1"/>
  <c r="L83" i="2"/>
  <c r="J83" i="2"/>
  <c r="G83" i="2"/>
  <c r="T82" i="2"/>
  <c r="L82" i="2"/>
  <c r="J82" i="2"/>
  <c r="G82" i="2"/>
  <c r="T81" i="2"/>
  <c r="O81" i="2"/>
  <c r="O662" i="2" s="1"/>
  <c r="L81" i="2"/>
  <c r="J81" i="2"/>
  <c r="G81" i="2"/>
  <c r="T80" i="2"/>
  <c r="L80" i="2"/>
  <c r="J80" i="2"/>
  <c r="G80" i="2"/>
  <c r="T79" i="2"/>
  <c r="O79" i="2"/>
  <c r="O664" i="2" s="1"/>
  <c r="J79" i="2"/>
  <c r="G79" i="2"/>
  <c r="AE78" i="2"/>
  <c r="AD78" i="2"/>
  <c r="AC78" i="2"/>
  <c r="AB78" i="2"/>
  <c r="AA78" i="2"/>
  <c r="Z78" i="2"/>
  <c r="Z69" i="2" s="1"/>
  <c r="Y78" i="2"/>
  <c r="X78" i="2"/>
  <c r="W78" i="2"/>
  <c r="V78" i="2"/>
  <c r="U78" i="2"/>
  <c r="S78" i="2"/>
  <c r="R78" i="2"/>
  <c r="Q78" i="2"/>
  <c r="P78" i="2"/>
  <c r="N78" i="2"/>
  <c r="M78" i="2"/>
  <c r="I78" i="2"/>
  <c r="J78" i="2" s="1"/>
  <c r="H78" i="2"/>
  <c r="F78" i="2"/>
  <c r="E78" i="2"/>
  <c r="T77" i="2"/>
  <c r="L77" i="2"/>
  <c r="K77" i="2" s="1"/>
  <c r="I77" i="2" s="1"/>
  <c r="J77" i="2" s="1"/>
  <c r="G77" i="2"/>
  <c r="T76" i="2"/>
  <c r="K76" i="2" s="1"/>
  <c r="I76" i="2" s="1"/>
  <c r="J76" i="2" s="1"/>
  <c r="L76" i="2"/>
  <c r="G76" i="2"/>
  <c r="T75" i="2"/>
  <c r="L75" i="2"/>
  <c r="K75" i="2" s="1"/>
  <c r="I75" i="2" s="1"/>
  <c r="J75" i="2" s="1"/>
  <c r="G75" i="2"/>
  <c r="T74" i="2"/>
  <c r="L74" i="2"/>
  <c r="L70" i="2" s="1"/>
  <c r="G74" i="2"/>
  <c r="T73" i="2"/>
  <c r="L73" i="2"/>
  <c r="K73" i="2"/>
  <c r="I73" i="2" s="1"/>
  <c r="J73" i="2" s="1"/>
  <c r="G73" i="2"/>
  <c r="T72" i="2"/>
  <c r="L72" i="2"/>
  <c r="G72" i="2"/>
  <c r="T71" i="2"/>
  <c r="K71" i="2" s="1"/>
  <c r="I71" i="2" s="1"/>
  <c r="L71" i="2"/>
  <c r="G71" i="2"/>
  <c r="AE70" i="2"/>
  <c r="AE69" i="2" s="1"/>
  <c r="AD70" i="2"/>
  <c r="AC70" i="2"/>
  <c r="AB70" i="2"/>
  <c r="AB69" i="2" s="1"/>
  <c r="AA70" i="2"/>
  <c r="AA69" i="2" s="1"/>
  <c r="Z70" i="2"/>
  <c r="Y70" i="2"/>
  <c r="X70" i="2"/>
  <c r="X69" i="2" s="1"/>
  <c r="W70" i="2"/>
  <c r="W69" i="2" s="1"/>
  <c r="V70" i="2"/>
  <c r="U70" i="2"/>
  <c r="S70" i="2"/>
  <c r="S69" i="2" s="1"/>
  <c r="R70" i="2"/>
  <c r="Q70" i="2"/>
  <c r="P70" i="2"/>
  <c r="O70" i="2"/>
  <c r="N70" i="2"/>
  <c r="N69" i="2" s="1"/>
  <c r="M70" i="2"/>
  <c r="H70" i="2"/>
  <c r="G70" i="2"/>
  <c r="F70" i="2"/>
  <c r="E70" i="2"/>
  <c r="AD69" i="2"/>
  <c r="V69" i="2"/>
  <c r="R69" i="2"/>
  <c r="F69" i="2"/>
  <c r="T68" i="2"/>
  <c r="L68" i="2"/>
  <c r="K68" i="2" s="1"/>
  <c r="J68" i="2"/>
  <c r="G68" i="2"/>
  <c r="T67" i="2"/>
  <c r="L67" i="2"/>
  <c r="J67" i="2"/>
  <c r="G67" i="2"/>
  <c r="AE66" i="2"/>
  <c r="AD66" i="2"/>
  <c r="AC66" i="2"/>
  <c r="AC62" i="2" s="1"/>
  <c r="AB66" i="2"/>
  <c r="AA66" i="2"/>
  <c r="Z66" i="2"/>
  <c r="Y66" i="2"/>
  <c r="Y62" i="2" s="1"/>
  <c r="X66" i="2"/>
  <c r="W66" i="2"/>
  <c r="V66" i="2"/>
  <c r="U66" i="2"/>
  <c r="U62" i="2" s="1"/>
  <c r="S66" i="2"/>
  <c r="R66" i="2"/>
  <c r="Q66" i="2"/>
  <c r="P66" i="2"/>
  <c r="O66" i="2"/>
  <c r="N66" i="2"/>
  <c r="M66" i="2"/>
  <c r="I66" i="2"/>
  <c r="H66" i="2"/>
  <c r="F66" i="2"/>
  <c r="E66" i="2"/>
  <c r="T65" i="2"/>
  <c r="L65" i="2"/>
  <c r="J65" i="2"/>
  <c r="G65" i="2"/>
  <c r="T64" i="2"/>
  <c r="L64" i="2"/>
  <c r="L63" i="2" s="1"/>
  <c r="J64" i="2"/>
  <c r="G64" i="2"/>
  <c r="AE63" i="2"/>
  <c r="AD63" i="2"/>
  <c r="AD62" i="2" s="1"/>
  <c r="AC63" i="2"/>
  <c r="AB63" i="2"/>
  <c r="AA63" i="2"/>
  <c r="Z63" i="2"/>
  <c r="Z62" i="2" s="1"/>
  <c r="Y63" i="2"/>
  <c r="X63" i="2"/>
  <c r="W63" i="2"/>
  <c r="V63" i="2"/>
  <c r="V62" i="2" s="1"/>
  <c r="U63" i="2"/>
  <c r="S63" i="2"/>
  <c r="S62" i="2" s="1"/>
  <c r="R63" i="2"/>
  <c r="Q63" i="2"/>
  <c r="P63" i="2"/>
  <c r="O63" i="2"/>
  <c r="O62" i="2" s="1"/>
  <c r="N63" i="2"/>
  <c r="M63" i="2"/>
  <c r="I63" i="2"/>
  <c r="H63" i="2"/>
  <c r="F63" i="2"/>
  <c r="E63" i="2"/>
  <c r="J63" i="2" s="1"/>
  <c r="Q62" i="2"/>
  <c r="M62" i="2"/>
  <c r="T61" i="2"/>
  <c r="L61" i="2"/>
  <c r="J61" i="2"/>
  <c r="G61" i="2"/>
  <c r="T60" i="2"/>
  <c r="K60" i="2" s="1"/>
  <c r="L60" i="2"/>
  <c r="J60" i="2"/>
  <c r="G60" i="2"/>
  <c r="T59" i="2"/>
  <c r="L59" i="2"/>
  <c r="J59" i="2"/>
  <c r="G59" i="2"/>
  <c r="T58" i="2"/>
  <c r="K58" i="2" s="1"/>
  <c r="L58" i="2"/>
  <c r="J58" i="2"/>
  <c r="G58" i="2"/>
  <c r="T57" i="2"/>
  <c r="L57" i="2"/>
  <c r="K57" i="2" s="1"/>
  <c r="J57" i="2"/>
  <c r="G57" i="2"/>
  <c r="T56" i="2"/>
  <c r="L56" i="2"/>
  <c r="J56" i="2"/>
  <c r="G56" i="2"/>
  <c r="T55" i="2"/>
  <c r="L55" i="2"/>
  <c r="K55" i="2" s="1"/>
  <c r="J55" i="2"/>
  <c r="G55" i="2"/>
  <c r="T54" i="2"/>
  <c r="L54" i="2"/>
  <c r="K54" i="2"/>
  <c r="J54" i="2"/>
  <c r="G54" i="2"/>
  <c r="T53" i="2"/>
  <c r="L53" i="2"/>
  <c r="K53" i="2" s="1"/>
  <c r="J53" i="2"/>
  <c r="G53" i="2"/>
  <c r="T52" i="2"/>
  <c r="L52" i="2"/>
  <c r="J52" i="2"/>
  <c r="G52" i="2"/>
  <c r="T51" i="2"/>
  <c r="L51" i="2"/>
  <c r="K51" i="2" s="1"/>
  <c r="J51" i="2"/>
  <c r="G51" i="2"/>
  <c r="T50" i="2"/>
  <c r="L50" i="2"/>
  <c r="K50" i="2" s="1"/>
  <c r="J50" i="2"/>
  <c r="G50" i="2"/>
  <c r="T49" i="2"/>
  <c r="L49" i="2"/>
  <c r="J49" i="2"/>
  <c r="G49" i="2"/>
  <c r="AE48" i="2"/>
  <c r="AD48" i="2"/>
  <c r="AC48" i="2"/>
  <c r="AB48" i="2"/>
  <c r="AA48" i="2"/>
  <c r="Z48" i="2"/>
  <c r="Z45" i="2" s="1"/>
  <c r="Y48" i="2"/>
  <c r="X48" i="2"/>
  <c r="W48" i="2"/>
  <c r="V48" i="2"/>
  <c r="V45" i="2" s="1"/>
  <c r="U48" i="2"/>
  <c r="S48" i="2"/>
  <c r="R48" i="2"/>
  <c r="Q48" i="2"/>
  <c r="P48" i="2"/>
  <c r="O48" i="2"/>
  <c r="N48" i="2"/>
  <c r="M48" i="2"/>
  <c r="I48" i="2"/>
  <c r="H48" i="2"/>
  <c r="F48" i="2"/>
  <c r="E48" i="2"/>
  <c r="G48" i="2" s="1"/>
  <c r="T47" i="2"/>
  <c r="L47" i="2"/>
  <c r="L46" i="2" s="1"/>
  <c r="J47" i="2"/>
  <c r="G47" i="2"/>
  <c r="AE46" i="2"/>
  <c r="AD46" i="2"/>
  <c r="AC46" i="2"/>
  <c r="AC45" i="2" s="1"/>
  <c r="AB46" i="2"/>
  <c r="AB45" i="2" s="1"/>
  <c r="AA46" i="2"/>
  <c r="Z46" i="2"/>
  <c r="Y46" i="2"/>
  <c r="Y45" i="2" s="1"/>
  <c r="X46" i="2"/>
  <c r="X45" i="2" s="1"/>
  <c r="W46" i="2"/>
  <c r="V46" i="2"/>
  <c r="U46" i="2"/>
  <c r="U45" i="2" s="1"/>
  <c r="T46" i="2"/>
  <c r="S46" i="2"/>
  <c r="R46" i="2"/>
  <c r="R45" i="2" s="1"/>
  <c r="Q46" i="2"/>
  <c r="P46" i="2"/>
  <c r="P45" i="2" s="1"/>
  <c r="O46" i="2"/>
  <c r="N46" i="2"/>
  <c r="M46" i="2"/>
  <c r="I46" i="2"/>
  <c r="J46" i="2" s="1"/>
  <c r="H46" i="2"/>
  <c r="F46" i="2"/>
  <c r="F45" i="2" s="1"/>
  <c r="E46" i="2"/>
  <c r="G46" i="2" s="1"/>
  <c r="AD45" i="2"/>
  <c r="N45" i="2"/>
  <c r="H45" i="2"/>
  <c r="T44" i="2"/>
  <c r="L44" i="2"/>
  <c r="T43" i="2"/>
  <c r="L43" i="2"/>
  <c r="G43" i="2"/>
  <c r="T42" i="2"/>
  <c r="L42" i="2"/>
  <c r="G42" i="2"/>
  <c r="T41" i="2"/>
  <c r="L41" i="2"/>
  <c r="K41" i="2" s="1"/>
  <c r="G41" i="2"/>
  <c r="AE40" i="2"/>
  <c r="AE39" i="2" s="1"/>
  <c r="AD40" i="2"/>
  <c r="AD39" i="2" s="1"/>
  <c r="AC40" i="2"/>
  <c r="AC39" i="2" s="1"/>
  <c r="AB40" i="2"/>
  <c r="AB39" i="2" s="1"/>
  <c r="AA40" i="2"/>
  <c r="AA39" i="2" s="1"/>
  <c r="Z40" i="2"/>
  <c r="Z39" i="2" s="1"/>
  <c r="Y40" i="2"/>
  <c r="Y39" i="2" s="1"/>
  <c r="X40" i="2"/>
  <c r="X39" i="2" s="1"/>
  <c r="W40" i="2"/>
  <c r="W39" i="2" s="1"/>
  <c r="V40" i="2"/>
  <c r="V39" i="2" s="1"/>
  <c r="U40" i="2"/>
  <c r="U39" i="2" s="1"/>
  <c r="S40" i="2"/>
  <c r="S39" i="2" s="1"/>
  <c r="R40" i="2"/>
  <c r="R39" i="2" s="1"/>
  <c r="Q40" i="2"/>
  <c r="P40" i="2"/>
  <c r="P39" i="2" s="1"/>
  <c r="O40" i="2"/>
  <c r="O39" i="2" s="1"/>
  <c r="N40" i="2"/>
  <c r="N39" i="2" s="1"/>
  <c r="M40" i="2"/>
  <c r="M39" i="2" s="1"/>
  <c r="H40" i="2"/>
  <c r="H39" i="2" s="1"/>
  <c r="F40" i="2"/>
  <c r="E40" i="2"/>
  <c r="E39" i="2" s="1"/>
  <c r="Q39" i="2"/>
  <c r="T38" i="2"/>
  <c r="N38" i="2"/>
  <c r="L38" i="2" s="1"/>
  <c r="K38" i="2" s="1"/>
  <c r="I38" i="2" s="1"/>
  <c r="H38" i="2"/>
  <c r="H677" i="2" s="1"/>
  <c r="G38" i="2"/>
  <c r="T37" i="2"/>
  <c r="L37" i="2"/>
  <c r="K37" i="2" s="1"/>
  <c r="J37" i="2"/>
  <c r="G37" i="2"/>
  <c r="T36" i="2"/>
  <c r="R36" i="2"/>
  <c r="R33" i="2" s="1"/>
  <c r="N36" i="2"/>
  <c r="J36" i="2"/>
  <c r="G36" i="2"/>
  <c r="T35" i="2"/>
  <c r="T33" i="2" s="1"/>
  <c r="L35" i="2"/>
  <c r="J35" i="2"/>
  <c r="H35" i="2"/>
  <c r="G35" i="2"/>
  <c r="T34" i="2"/>
  <c r="L34" i="2"/>
  <c r="K34" i="2" s="1"/>
  <c r="J34" i="2"/>
  <c r="G34" i="2"/>
  <c r="AE33" i="2"/>
  <c r="AD33" i="2"/>
  <c r="AC33" i="2"/>
  <c r="AB33" i="2"/>
  <c r="AA33" i="2"/>
  <c r="Z33" i="2"/>
  <c r="Y33" i="2"/>
  <c r="X33" i="2"/>
  <c r="W33" i="2"/>
  <c r="V33" i="2"/>
  <c r="U33" i="2"/>
  <c r="S33" i="2"/>
  <c r="Q33" i="2"/>
  <c r="P33" i="2"/>
  <c r="O33" i="2"/>
  <c r="M33" i="2"/>
  <c r="F33" i="2"/>
  <c r="E33" i="2"/>
  <c r="G33" i="2" s="1"/>
  <c r="L32" i="2"/>
  <c r="K32" i="2" s="1"/>
  <c r="K31" i="2" s="1"/>
  <c r="J32" i="2"/>
  <c r="G32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I31" i="2"/>
  <c r="H31" i="2"/>
  <c r="F31" i="2"/>
  <c r="E31" i="2"/>
  <c r="J31" i="2" s="1"/>
  <c r="T30" i="2"/>
  <c r="L30" i="2"/>
  <c r="L29" i="2" s="1"/>
  <c r="J30" i="2"/>
  <c r="G30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I29" i="2"/>
  <c r="J29" i="2" s="1"/>
  <c r="H29" i="2"/>
  <c r="F29" i="2"/>
  <c r="G29" i="2" s="1"/>
  <c r="E29" i="2"/>
  <c r="T28" i="2"/>
  <c r="L28" i="2"/>
  <c r="J28" i="2"/>
  <c r="G28" i="2"/>
  <c r="T27" i="2"/>
  <c r="L27" i="2"/>
  <c r="J27" i="2"/>
  <c r="G27" i="2"/>
  <c r="T26" i="2"/>
  <c r="L26" i="2"/>
  <c r="J26" i="2"/>
  <c r="G26" i="2"/>
  <c r="AE25" i="2"/>
  <c r="AE24" i="2" s="1"/>
  <c r="AD25" i="2"/>
  <c r="AC25" i="2"/>
  <c r="AC24" i="2" s="1"/>
  <c r="AB25" i="2"/>
  <c r="AB24" i="2" s="1"/>
  <c r="AA25" i="2"/>
  <c r="AA24" i="2" s="1"/>
  <c r="Z25" i="2"/>
  <c r="Y25" i="2"/>
  <c r="X25" i="2"/>
  <c r="X24" i="2" s="1"/>
  <c r="W25" i="2"/>
  <c r="V25" i="2"/>
  <c r="U25" i="2"/>
  <c r="U24" i="2" s="1"/>
  <c r="S25" i="2"/>
  <c r="S24" i="2" s="1"/>
  <c r="R25" i="2"/>
  <c r="R24" i="2" s="1"/>
  <c r="Q25" i="2"/>
  <c r="Q24" i="2" s="1"/>
  <c r="P25" i="2"/>
  <c r="O25" i="2"/>
  <c r="O24" i="2" s="1"/>
  <c r="N25" i="2"/>
  <c r="M25" i="2"/>
  <c r="M24" i="2" s="1"/>
  <c r="I25" i="2"/>
  <c r="H25" i="2"/>
  <c r="F25" i="2"/>
  <c r="E25" i="2"/>
  <c r="E24" i="2" s="1"/>
  <c r="W24" i="2"/>
  <c r="T23" i="2"/>
  <c r="L23" i="2"/>
  <c r="K23" i="2" s="1"/>
  <c r="J23" i="2"/>
  <c r="G23" i="2"/>
  <c r="T22" i="2"/>
  <c r="L22" i="2"/>
  <c r="K22" i="2" s="1"/>
  <c r="J22" i="2"/>
  <c r="G22" i="2"/>
  <c r="T21" i="2"/>
  <c r="L21" i="2"/>
  <c r="K21" i="2" s="1"/>
  <c r="J21" i="2"/>
  <c r="G21" i="2"/>
  <c r="T20" i="2"/>
  <c r="L20" i="2"/>
  <c r="K20" i="2" s="1"/>
  <c r="J20" i="2"/>
  <c r="G20" i="2"/>
  <c r="T19" i="2"/>
  <c r="L19" i="2"/>
  <c r="K19" i="2" s="1"/>
  <c r="J19" i="2"/>
  <c r="G19" i="2"/>
  <c r="AE18" i="2"/>
  <c r="AE17" i="2" s="1"/>
  <c r="AD18" i="2"/>
  <c r="AC18" i="2"/>
  <c r="AC17" i="2" s="1"/>
  <c r="AB18" i="2"/>
  <c r="AA18" i="2"/>
  <c r="AA17" i="2" s="1"/>
  <c r="Z18" i="2"/>
  <c r="Y18" i="2"/>
  <c r="Y17" i="2" s="1"/>
  <c r="X18" i="2"/>
  <c r="X17" i="2" s="1"/>
  <c r="W18" i="2"/>
  <c r="W17" i="2" s="1"/>
  <c r="V18" i="2"/>
  <c r="U18" i="2"/>
  <c r="U17" i="2" s="1"/>
  <c r="S18" i="2"/>
  <c r="S17" i="2" s="1"/>
  <c r="R18" i="2"/>
  <c r="R17" i="2" s="1"/>
  <c r="Q18" i="2"/>
  <c r="Q17" i="2" s="1"/>
  <c r="P18" i="2"/>
  <c r="O18" i="2"/>
  <c r="O17" i="2" s="1"/>
  <c r="N18" i="2"/>
  <c r="N17" i="2" s="1"/>
  <c r="M18" i="2"/>
  <c r="M17" i="2" s="1"/>
  <c r="I18" i="2"/>
  <c r="J18" i="2" s="1"/>
  <c r="H18" i="2"/>
  <c r="H17" i="2" s="1"/>
  <c r="F18" i="2"/>
  <c r="F17" i="2" s="1"/>
  <c r="E18" i="2"/>
  <c r="E17" i="2" s="1"/>
  <c r="AD17" i="2"/>
  <c r="AB17" i="2"/>
  <c r="Z17" i="2"/>
  <c r="V17" i="2"/>
  <c r="P17" i="2"/>
  <c r="T16" i="2"/>
  <c r="L16" i="2"/>
  <c r="K16" i="2" s="1"/>
  <c r="J16" i="2"/>
  <c r="G16" i="2"/>
  <c r="T15" i="2"/>
  <c r="L15" i="2"/>
  <c r="K15" i="2" s="1"/>
  <c r="J15" i="2"/>
  <c r="H15" i="2"/>
  <c r="G15" i="2"/>
  <c r="T14" i="2"/>
  <c r="L14" i="2"/>
  <c r="J14" i="2"/>
  <c r="G14" i="2"/>
  <c r="T13" i="2"/>
  <c r="L13" i="2"/>
  <c r="K13" i="2"/>
  <c r="J13" i="2"/>
  <c r="G13" i="2"/>
  <c r="T12" i="2"/>
  <c r="L12" i="2"/>
  <c r="K12" i="2" s="1"/>
  <c r="J12" i="2"/>
  <c r="G12" i="2"/>
  <c r="T11" i="2"/>
  <c r="L11" i="2"/>
  <c r="K11" i="2"/>
  <c r="J11" i="2"/>
  <c r="G11" i="2"/>
  <c r="AE10" i="2"/>
  <c r="AD10" i="2"/>
  <c r="AC10" i="2"/>
  <c r="AB10" i="2"/>
  <c r="AA10" i="2"/>
  <c r="Z10" i="2"/>
  <c r="Y10" i="2"/>
  <c r="X10" i="2"/>
  <c r="W10" i="2"/>
  <c r="V10" i="2"/>
  <c r="U10" i="2"/>
  <c r="S10" i="2"/>
  <c r="R10" i="2"/>
  <c r="Q10" i="2"/>
  <c r="P10" i="2"/>
  <c r="O10" i="2"/>
  <c r="N10" i="2"/>
  <c r="M10" i="2"/>
  <c r="I10" i="2"/>
  <c r="H10" i="2"/>
  <c r="F10" i="2"/>
  <c r="E10" i="2"/>
  <c r="J10" i="2" s="1"/>
  <c r="T9" i="2"/>
  <c r="L9" i="2"/>
  <c r="L8" i="2" s="1"/>
  <c r="K9" i="2"/>
  <c r="K8" i="2" s="1"/>
  <c r="J9" i="2"/>
  <c r="G9" i="2"/>
  <c r="AE8" i="2"/>
  <c r="AD8" i="2"/>
  <c r="AC8" i="2"/>
  <c r="AC5" i="2" s="1"/>
  <c r="AB8" i="2"/>
  <c r="AA8" i="2"/>
  <c r="Z8" i="2"/>
  <c r="Y8" i="2"/>
  <c r="X8" i="2"/>
  <c r="W8" i="2"/>
  <c r="V8" i="2"/>
  <c r="U8" i="2"/>
  <c r="U5" i="2" s="1"/>
  <c r="T8" i="2"/>
  <c r="S8" i="2"/>
  <c r="R8" i="2"/>
  <c r="Q8" i="2"/>
  <c r="P8" i="2"/>
  <c r="O8" i="2"/>
  <c r="N8" i="2"/>
  <c r="M8" i="2"/>
  <c r="M5" i="2" s="1"/>
  <c r="I8" i="2"/>
  <c r="J8" i="2" s="1"/>
  <c r="H8" i="2"/>
  <c r="F8" i="2"/>
  <c r="E8" i="2"/>
  <c r="T7" i="2"/>
  <c r="L7" i="2"/>
  <c r="K7" i="2" s="1"/>
  <c r="K6" i="2" s="1"/>
  <c r="J7" i="2"/>
  <c r="G7" i="2"/>
  <c r="AE6" i="2"/>
  <c r="AE5" i="2" s="1"/>
  <c r="AD6" i="2"/>
  <c r="AC6" i="2"/>
  <c r="AB6" i="2"/>
  <c r="AB5" i="2" s="1"/>
  <c r="AA6" i="2"/>
  <c r="Z6" i="2"/>
  <c r="Y6" i="2"/>
  <c r="X6" i="2"/>
  <c r="X5" i="2" s="1"/>
  <c r="W6" i="2"/>
  <c r="W5" i="2" s="1"/>
  <c r="V6" i="2"/>
  <c r="U6" i="2"/>
  <c r="T6" i="2"/>
  <c r="S6" i="2"/>
  <c r="R6" i="2"/>
  <c r="Q6" i="2"/>
  <c r="P6" i="2"/>
  <c r="P5" i="2" s="1"/>
  <c r="O6" i="2"/>
  <c r="O5" i="2" s="1"/>
  <c r="N6" i="2"/>
  <c r="M6" i="2"/>
  <c r="L6" i="2"/>
  <c r="I6" i="2"/>
  <c r="H6" i="2"/>
  <c r="F6" i="2"/>
  <c r="G6" i="2" s="1"/>
  <c r="E6" i="2"/>
  <c r="AA5" i="2"/>
  <c r="Y5" i="2"/>
  <c r="S5" i="2"/>
  <c r="Q5" i="2"/>
  <c r="I5" i="2"/>
  <c r="E5" i="2"/>
  <c r="AC240" i="1"/>
  <c r="AB240" i="1"/>
  <c r="AA240" i="1"/>
  <c r="Z240" i="1"/>
  <c r="Y240" i="1"/>
  <c r="X240" i="1"/>
  <c r="W240" i="1"/>
  <c r="V240" i="1"/>
  <c r="U240" i="1"/>
  <c r="T240" i="1"/>
  <c r="R240" i="1"/>
  <c r="Q240" i="1"/>
  <c r="P240" i="1"/>
  <c r="O240" i="1"/>
  <c r="N240" i="1"/>
  <c r="M240" i="1"/>
  <c r="I240" i="1"/>
  <c r="H240" i="1"/>
  <c r="F240" i="1"/>
  <c r="E240" i="1"/>
  <c r="G240" i="1" s="1"/>
  <c r="AC239" i="1"/>
  <c r="AC235" i="1" s="1"/>
  <c r="AB239" i="1"/>
  <c r="AA239" i="1"/>
  <c r="Z239" i="1"/>
  <c r="Y239" i="1"/>
  <c r="Y235" i="1" s="1"/>
  <c r="X239" i="1"/>
  <c r="W239" i="1"/>
  <c r="V239" i="1"/>
  <c r="U239" i="1"/>
  <c r="U235" i="1" s="1"/>
  <c r="T239" i="1"/>
  <c r="R239" i="1"/>
  <c r="Q239" i="1"/>
  <c r="P239" i="1"/>
  <c r="O239" i="1"/>
  <c r="N239" i="1"/>
  <c r="M239" i="1"/>
  <c r="H235" i="1"/>
  <c r="AC238" i="1"/>
  <c r="AB238" i="1"/>
  <c r="AA238" i="1"/>
  <c r="Z238" i="1"/>
  <c r="Z235" i="1" s="1"/>
  <c r="Y238" i="1"/>
  <c r="X238" i="1"/>
  <c r="W238" i="1"/>
  <c r="V238" i="1"/>
  <c r="V235" i="1" s="1"/>
  <c r="U238" i="1"/>
  <c r="T238" i="1"/>
  <c r="R238" i="1"/>
  <c r="R235" i="1" s="1"/>
  <c r="Q238" i="1"/>
  <c r="P238" i="1"/>
  <c r="O238" i="1"/>
  <c r="N238" i="1"/>
  <c r="N235" i="1" s="1"/>
  <c r="M238" i="1"/>
  <c r="J238" i="1"/>
  <c r="I238" i="1"/>
  <c r="H238" i="1"/>
  <c r="F238" i="1"/>
  <c r="G238" i="1" s="1"/>
  <c r="E238" i="1"/>
  <c r="AC237" i="1"/>
  <c r="AB237" i="1"/>
  <c r="AA237" i="1"/>
  <c r="AA235" i="1" s="1"/>
  <c r="Z237" i="1"/>
  <c r="Y237" i="1"/>
  <c r="X237" i="1"/>
  <c r="W237" i="1"/>
  <c r="W235" i="1" s="1"/>
  <c r="V237" i="1"/>
  <c r="U237" i="1"/>
  <c r="T237" i="1"/>
  <c r="R237" i="1"/>
  <c r="Q237" i="1"/>
  <c r="P237" i="1"/>
  <c r="O237" i="1"/>
  <c r="O235" i="1" s="1"/>
  <c r="N237" i="1"/>
  <c r="M237" i="1"/>
  <c r="I237" i="1"/>
  <c r="H237" i="1"/>
  <c r="G237" i="1"/>
  <c r="F237" i="1"/>
  <c r="E237" i="1"/>
  <c r="AB235" i="1"/>
  <c r="X235" i="1"/>
  <c r="T235" i="1"/>
  <c r="Q235" i="1"/>
  <c r="P235" i="1"/>
  <c r="M235" i="1"/>
  <c r="AC234" i="1"/>
  <c r="AB234" i="1"/>
  <c r="AB225" i="1" s="1"/>
  <c r="AA234" i="1"/>
  <c r="Z234" i="1"/>
  <c r="Y234" i="1"/>
  <c r="X234" i="1"/>
  <c r="W234" i="1"/>
  <c r="V234" i="1"/>
  <c r="U234" i="1"/>
  <c r="T234" i="1"/>
  <c r="Q234" i="1"/>
  <c r="P234" i="1"/>
  <c r="O234" i="1"/>
  <c r="N234" i="1"/>
  <c r="M234" i="1"/>
  <c r="F234" i="1"/>
  <c r="E234" i="1"/>
  <c r="AC233" i="1"/>
  <c r="AB233" i="1"/>
  <c r="AA233" i="1"/>
  <c r="Z233" i="1"/>
  <c r="Y233" i="1"/>
  <c r="X233" i="1"/>
  <c r="W233" i="1"/>
  <c r="V233" i="1"/>
  <c r="U233" i="1"/>
  <c r="T233" i="1"/>
  <c r="R233" i="1"/>
  <c r="Q233" i="1"/>
  <c r="P233" i="1"/>
  <c r="O233" i="1"/>
  <c r="N233" i="1"/>
  <c r="H233" i="1"/>
  <c r="F233" i="1"/>
  <c r="AC232" i="1"/>
  <c r="AB232" i="1"/>
  <c r="AA232" i="1"/>
  <c r="Z232" i="1"/>
  <c r="Y232" i="1"/>
  <c r="X232" i="1"/>
  <c r="W232" i="1"/>
  <c r="V232" i="1"/>
  <c r="U232" i="1"/>
  <c r="T232" i="1"/>
  <c r="R232" i="1"/>
  <c r="Q232" i="1"/>
  <c r="P232" i="1"/>
  <c r="O232" i="1"/>
  <c r="N232" i="1"/>
  <c r="M232" i="1"/>
  <c r="J232" i="1"/>
  <c r="I232" i="1"/>
  <c r="H232" i="1"/>
  <c r="G232" i="1"/>
  <c r="F232" i="1"/>
  <c r="E232" i="1"/>
  <c r="AC231" i="1"/>
  <c r="AB231" i="1"/>
  <c r="AA231" i="1"/>
  <c r="Z231" i="1"/>
  <c r="Y231" i="1"/>
  <c r="X231" i="1"/>
  <c r="W231" i="1"/>
  <c r="V231" i="1"/>
  <c r="U231" i="1"/>
  <c r="T231" i="1"/>
  <c r="R231" i="1"/>
  <c r="Q231" i="1"/>
  <c r="P231" i="1"/>
  <c r="O231" i="1"/>
  <c r="N231" i="1"/>
  <c r="M231" i="1"/>
  <c r="G231" i="1"/>
  <c r="F231" i="1"/>
  <c r="E231" i="1"/>
  <c r="AC229" i="1"/>
  <c r="AB229" i="1"/>
  <c r="AA229" i="1"/>
  <c r="Z229" i="1"/>
  <c r="Y229" i="1"/>
  <c r="X229" i="1"/>
  <c r="W229" i="1"/>
  <c r="V229" i="1"/>
  <c r="U229" i="1"/>
  <c r="T229" i="1"/>
  <c r="R229" i="1"/>
  <c r="Q229" i="1"/>
  <c r="P229" i="1"/>
  <c r="O229" i="1"/>
  <c r="N229" i="1"/>
  <c r="M229" i="1"/>
  <c r="F229" i="1"/>
  <c r="G229" i="1" s="1"/>
  <c r="E229" i="1"/>
  <c r="AC228" i="1"/>
  <c r="AC225" i="1" s="1"/>
  <c r="AB228" i="1"/>
  <c r="AA228" i="1"/>
  <c r="Z228" i="1"/>
  <c r="Y228" i="1"/>
  <c r="Y225" i="1" s="1"/>
  <c r="X228" i="1"/>
  <c r="W228" i="1"/>
  <c r="V228" i="1"/>
  <c r="U228" i="1"/>
  <c r="U225" i="1" s="1"/>
  <c r="T228" i="1"/>
  <c r="R228" i="1"/>
  <c r="Q228" i="1"/>
  <c r="P228" i="1"/>
  <c r="O228" i="1"/>
  <c r="N228" i="1"/>
  <c r="M228" i="1"/>
  <c r="J228" i="1"/>
  <c r="I228" i="1"/>
  <c r="H228" i="1"/>
  <c r="F228" i="1"/>
  <c r="G228" i="1" s="1"/>
  <c r="E228" i="1"/>
  <c r="AC227" i="1"/>
  <c r="AB227" i="1"/>
  <c r="AA227" i="1"/>
  <c r="Z227" i="1"/>
  <c r="Z225" i="1" s="1"/>
  <c r="Y227" i="1"/>
  <c r="X227" i="1"/>
  <c r="W227" i="1"/>
  <c r="V227" i="1"/>
  <c r="V225" i="1" s="1"/>
  <c r="U227" i="1"/>
  <c r="T227" i="1"/>
  <c r="R227" i="1"/>
  <c r="Q227" i="1"/>
  <c r="P227" i="1"/>
  <c r="O227" i="1"/>
  <c r="N227" i="1"/>
  <c r="M227" i="1"/>
  <c r="J227" i="1"/>
  <c r="I227" i="1"/>
  <c r="H227" i="1"/>
  <c r="G227" i="1"/>
  <c r="F227" i="1"/>
  <c r="E227" i="1"/>
  <c r="P225" i="1"/>
  <c r="AC220" i="1"/>
  <c r="AB220" i="1"/>
  <c r="AA220" i="1"/>
  <c r="AA214" i="1" s="1"/>
  <c r="Z220" i="1"/>
  <c r="Y220" i="1"/>
  <c r="X220" i="1"/>
  <c r="W220" i="1"/>
  <c r="W214" i="1" s="1"/>
  <c r="V220" i="1"/>
  <c r="U220" i="1"/>
  <c r="T220" i="1"/>
  <c r="S220" i="1"/>
  <c r="S214" i="1" s="1"/>
  <c r="R220" i="1"/>
  <c r="Q220" i="1"/>
  <c r="P220" i="1"/>
  <c r="O220" i="1"/>
  <c r="O214" i="1" s="1"/>
  <c r="N220" i="1"/>
  <c r="M220" i="1"/>
  <c r="L220" i="1"/>
  <c r="K220" i="1"/>
  <c r="I220" i="1"/>
  <c r="H220" i="1"/>
  <c r="F220" i="1"/>
  <c r="E220" i="1"/>
  <c r="S219" i="1"/>
  <c r="L219" i="1"/>
  <c r="K219" i="1"/>
  <c r="G219" i="1"/>
  <c r="L218" i="1"/>
  <c r="K218" i="1" s="1"/>
  <c r="S217" i="1"/>
  <c r="L217" i="1"/>
  <c r="K217" i="1"/>
  <c r="J217" i="1"/>
  <c r="G217" i="1"/>
  <c r="S216" i="1"/>
  <c r="L216" i="1"/>
  <c r="K216" i="1" s="1"/>
  <c r="J216" i="1"/>
  <c r="G216" i="1"/>
  <c r="AC215" i="1"/>
  <c r="AC214" i="1" s="1"/>
  <c r="AB215" i="1"/>
  <c r="AB214" i="1" s="1"/>
  <c r="AA215" i="1"/>
  <c r="Z215" i="1"/>
  <c r="Y215" i="1"/>
  <c r="Y214" i="1" s="1"/>
  <c r="X215" i="1"/>
  <c r="X214" i="1" s="1"/>
  <c r="W215" i="1"/>
  <c r="V215" i="1"/>
  <c r="U215" i="1"/>
  <c r="U214" i="1" s="1"/>
  <c r="T215" i="1"/>
  <c r="T214" i="1" s="1"/>
  <c r="S215" i="1"/>
  <c r="R215" i="1"/>
  <c r="Q215" i="1"/>
  <c r="Q214" i="1" s="1"/>
  <c r="P215" i="1"/>
  <c r="P214" i="1" s="1"/>
  <c r="O215" i="1"/>
  <c r="N215" i="1"/>
  <c r="M215" i="1"/>
  <c r="M214" i="1" s="1"/>
  <c r="H215" i="1"/>
  <c r="H214" i="1" s="1"/>
  <c r="F215" i="1"/>
  <c r="G215" i="1" s="1"/>
  <c r="E215" i="1"/>
  <c r="E214" i="1" s="1"/>
  <c r="Z214" i="1"/>
  <c r="V214" i="1"/>
  <c r="R214" i="1"/>
  <c r="N214" i="1"/>
  <c r="F214" i="1"/>
  <c r="G214" i="1" s="1"/>
  <c r="K213" i="1"/>
  <c r="S212" i="1"/>
  <c r="L212" i="1"/>
  <c r="J212" i="1"/>
  <c r="G212" i="1"/>
  <c r="AC210" i="1"/>
  <c r="AC209" i="1" s="1"/>
  <c r="AB210" i="1"/>
  <c r="AB209" i="1" s="1"/>
  <c r="AA210" i="1"/>
  <c r="Z210" i="1"/>
  <c r="Y210" i="1"/>
  <c r="Y209" i="1" s="1"/>
  <c r="X210" i="1"/>
  <c r="X209" i="1" s="1"/>
  <c r="W210" i="1"/>
  <c r="V210" i="1"/>
  <c r="U210" i="1"/>
  <c r="U209" i="1" s="1"/>
  <c r="T210" i="1"/>
  <c r="T209" i="1" s="1"/>
  <c r="R210" i="1"/>
  <c r="Q210" i="1"/>
  <c r="Q209" i="1" s="1"/>
  <c r="P210" i="1"/>
  <c r="P209" i="1" s="1"/>
  <c r="O210" i="1"/>
  <c r="N210" i="1"/>
  <c r="M210" i="1"/>
  <c r="M209" i="1" s="1"/>
  <c r="I210" i="1"/>
  <c r="H210" i="1"/>
  <c r="H209" i="1" s="1"/>
  <c r="F210" i="1"/>
  <c r="F209" i="1" s="1"/>
  <c r="E210" i="1"/>
  <c r="E209" i="1" s="1"/>
  <c r="AA209" i="1"/>
  <c r="Z209" i="1"/>
  <c r="W209" i="1"/>
  <c r="V209" i="1"/>
  <c r="R209" i="1"/>
  <c r="O209" i="1"/>
  <c r="N209" i="1"/>
  <c r="K208" i="1"/>
  <c r="S207" i="1"/>
  <c r="S206" i="1" s="1"/>
  <c r="L207" i="1"/>
  <c r="J207" i="1"/>
  <c r="G207" i="1"/>
  <c r="AC206" i="1"/>
  <c r="AB206" i="1"/>
  <c r="AB198" i="1" s="1"/>
  <c r="AA206" i="1"/>
  <c r="Z206" i="1"/>
  <c r="Y206" i="1"/>
  <c r="X206" i="1"/>
  <c r="X198" i="1" s="1"/>
  <c r="W206" i="1"/>
  <c r="V206" i="1"/>
  <c r="U206" i="1"/>
  <c r="T206" i="1"/>
  <c r="T198" i="1" s="1"/>
  <c r="R206" i="1"/>
  <c r="Q206" i="1"/>
  <c r="P206" i="1"/>
  <c r="P198" i="1" s="1"/>
  <c r="O206" i="1"/>
  <c r="N206" i="1"/>
  <c r="M206" i="1"/>
  <c r="I206" i="1"/>
  <c r="J206" i="1" s="1"/>
  <c r="H206" i="1"/>
  <c r="H198" i="1" s="1"/>
  <c r="F206" i="1"/>
  <c r="E206" i="1"/>
  <c r="S205" i="1"/>
  <c r="K205" i="1" s="1"/>
  <c r="L205" i="1"/>
  <c r="J205" i="1"/>
  <c r="G205" i="1"/>
  <c r="AC204" i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L203" i="1"/>
  <c r="K203" i="1"/>
  <c r="L202" i="1"/>
  <c r="K202" i="1"/>
  <c r="S201" i="1"/>
  <c r="L201" i="1"/>
  <c r="K201" i="1" s="1"/>
  <c r="J201" i="1"/>
  <c r="G201" i="1"/>
  <c r="S200" i="1"/>
  <c r="S199" i="1" s="1"/>
  <c r="S198" i="1" s="1"/>
  <c r="L200" i="1"/>
  <c r="J200" i="1"/>
  <c r="G200" i="1"/>
  <c r="AC199" i="1"/>
  <c r="AC198" i="1" s="1"/>
  <c r="AB199" i="1"/>
  <c r="AA199" i="1"/>
  <c r="Z199" i="1"/>
  <c r="Z198" i="1" s="1"/>
  <c r="Y199" i="1"/>
  <c r="Y198" i="1" s="1"/>
  <c r="X199" i="1"/>
  <c r="W199" i="1"/>
  <c r="V199" i="1"/>
  <c r="V198" i="1" s="1"/>
  <c r="U199" i="1"/>
  <c r="U198" i="1" s="1"/>
  <c r="T199" i="1"/>
  <c r="R199" i="1"/>
  <c r="R198" i="1" s="1"/>
  <c r="Q199" i="1"/>
  <c r="Q198" i="1" s="1"/>
  <c r="P199" i="1"/>
  <c r="O199" i="1"/>
  <c r="N199" i="1"/>
  <c r="N198" i="1" s="1"/>
  <c r="M199" i="1"/>
  <c r="M198" i="1" s="1"/>
  <c r="J199" i="1"/>
  <c r="I199" i="1"/>
  <c r="H199" i="1"/>
  <c r="F199" i="1"/>
  <c r="E199" i="1"/>
  <c r="E198" i="1" s="1"/>
  <c r="AA198" i="1"/>
  <c r="W198" i="1"/>
  <c r="O198" i="1"/>
  <c r="S197" i="1"/>
  <c r="L197" i="1"/>
  <c r="K197" i="1" s="1"/>
  <c r="I197" i="1" s="1"/>
  <c r="I196" i="1" s="1"/>
  <c r="AC196" i="1"/>
  <c r="AB196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P178" i="1" s="1"/>
  <c r="O196" i="1"/>
  <c r="N196" i="1"/>
  <c r="M196" i="1"/>
  <c r="H196" i="1"/>
  <c r="F196" i="1"/>
  <c r="E196" i="1"/>
  <c r="S195" i="1"/>
  <c r="L195" i="1"/>
  <c r="K195" i="1"/>
  <c r="I195" i="1" s="1"/>
  <c r="G195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 s="1"/>
  <c r="I194" i="1"/>
  <c r="J194" i="1" s="1"/>
  <c r="H194" i="1"/>
  <c r="F194" i="1"/>
  <c r="E194" i="1"/>
  <c r="S193" i="1"/>
  <c r="K193" i="1" s="1"/>
  <c r="L193" i="1"/>
  <c r="J193" i="1"/>
  <c r="G193" i="1"/>
  <c r="AC192" i="1"/>
  <c r="AB192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S191" i="1"/>
  <c r="L191" i="1"/>
  <c r="K191" i="1" s="1"/>
  <c r="J191" i="1"/>
  <c r="G191" i="1"/>
  <c r="S190" i="1"/>
  <c r="L190" i="1"/>
  <c r="L185" i="1" s="1"/>
  <c r="J190" i="1"/>
  <c r="G190" i="1"/>
  <c r="S189" i="1"/>
  <c r="K189" i="1" s="1"/>
  <c r="I189" i="1" s="1"/>
  <c r="I185" i="1" s="1"/>
  <c r="L189" i="1"/>
  <c r="J189" i="1"/>
  <c r="G189" i="1"/>
  <c r="K188" i="1"/>
  <c r="K187" i="1"/>
  <c r="S186" i="1"/>
  <c r="K186" i="1" s="1"/>
  <c r="L186" i="1"/>
  <c r="J186" i="1"/>
  <c r="G186" i="1"/>
  <c r="AC185" i="1"/>
  <c r="AB185" i="1"/>
  <c r="AA185" i="1"/>
  <c r="Z185" i="1"/>
  <c r="Y185" i="1"/>
  <c r="X185" i="1"/>
  <c r="W185" i="1"/>
  <c r="V185" i="1"/>
  <c r="U185" i="1"/>
  <c r="T185" i="1"/>
  <c r="S185" i="1"/>
  <c r="R185" i="1"/>
  <c r="Q185" i="1"/>
  <c r="P185" i="1"/>
  <c r="O185" i="1"/>
  <c r="N185" i="1"/>
  <c r="M185" i="1"/>
  <c r="K185" i="1"/>
  <c r="J185" i="1"/>
  <c r="H185" i="1"/>
  <c r="F185" i="1"/>
  <c r="G185" i="1" s="1"/>
  <c r="E185" i="1"/>
  <c r="S184" i="1"/>
  <c r="L184" i="1"/>
  <c r="K184" i="1"/>
  <c r="J184" i="1"/>
  <c r="G184" i="1"/>
  <c r="S183" i="1"/>
  <c r="L183" i="1"/>
  <c r="K183" i="1" s="1"/>
  <c r="I183" i="1" s="1"/>
  <c r="G183" i="1"/>
  <c r="K182" i="1"/>
  <c r="K181" i="1"/>
  <c r="S180" i="1"/>
  <c r="L180" i="1"/>
  <c r="J180" i="1"/>
  <c r="G180" i="1"/>
  <c r="AC179" i="1"/>
  <c r="AC178" i="1" s="1"/>
  <c r="AB179" i="1"/>
  <c r="AA179" i="1"/>
  <c r="Z179" i="1"/>
  <c r="Y179" i="1"/>
  <c r="Y178" i="1" s="1"/>
  <c r="X179" i="1"/>
  <c r="W179" i="1"/>
  <c r="V179" i="1"/>
  <c r="V178" i="1" s="1"/>
  <c r="U179" i="1"/>
  <c r="U178" i="1" s="1"/>
  <c r="T179" i="1"/>
  <c r="R179" i="1"/>
  <c r="Q179" i="1"/>
  <c r="Q178" i="1" s="1"/>
  <c r="P179" i="1"/>
  <c r="O179" i="1"/>
  <c r="N179" i="1"/>
  <c r="M179" i="1"/>
  <c r="M178" i="1" s="1"/>
  <c r="H179" i="1"/>
  <c r="F179" i="1"/>
  <c r="G179" i="1" s="1"/>
  <c r="E179" i="1"/>
  <c r="E178" i="1" s="1"/>
  <c r="AB178" i="1"/>
  <c r="AA178" i="1"/>
  <c r="Z178" i="1"/>
  <c r="X178" i="1"/>
  <c r="W178" i="1"/>
  <c r="T178" i="1"/>
  <c r="R178" i="1"/>
  <c r="O178" i="1"/>
  <c r="N178" i="1"/>
  <c r="H178" i="1"/>
  <c r="S177" i="1"/>
  <c r="S176" i="1" s="1"/>
  <c r="L177" i="1"/>
  <c r="K177" i="1"/>
  <c r="J177" i="1"/>
  <c r="G177" i="1"/>
  <c r="AC176" i="1"/>
  <c r="AB176" i="1"/>
  <c r="AB175" i="1" s="1"/>
  <c r="AA176" i="1"/>
  <c r="Z176" i="1"/>
  <c r="Y176" i="1"/>
  <c r="X176" i="1"/>
  <c r="X175" i="1" s="1"/>
  <c r="W176" i="1"/>
  <c r="V176" i="1"/>
  <c r="U176" i="1"/>
  <c r="T176" i="1"/>
  <c r="T175" i="1" s="1"/>
  <c r="R176" i="1"/>
  <c r="Q176" i="1"/>
  <c r="Q175" i="1" s="1"/>
  <c r="P176" i="1"/>
  <c r="O176" i="1"/>
  <c r="N176" i="1"/>
  <c r="M176" i="1"/>
  <c r="M175" i="1" s="1"/>
  <c r="L176" i="1"/>
  <c r="I176" i="1"/>
  <c r="H176" i="1"/>
  <c r="F176" i="1"/>
  <c r="E176" i="1"/>
  <c r="J176" i="1" s="1"/>
  <c r="AC175" i="1"/>
  <c r="AA175" i="1"/>
  <c r="Z175" i="1"/>
  <c r="Y175" i="1"/>
  <c r="W175" i="1"/>
  <c r="V175" i="1"/>
  <c r="U175" i="1"/>
  <c r="S175" i="1"/>
  <c r="R175" i="1"/>
  <c r="P175" i="1"/>
  <c r="O175" i="1"/>
  <c r="N175" i="1"/>
  <c r="L175" i="1"/>
  <c r="K175" i="1" s="1"/>
  <c r="I175" i="1"/>
  <c r="H175" i="1"/>
  <c r="F175" i="1"/>
  <c r="S174" i="1"/>
  <c r="L174" i="1"/>
  <c r="K174" i="1"/>
  <c r="J174" i="1"/>
  <c r="G174" i="1"/>
  <c r="S173" i="1"/>
  <c r="L173" i="1"/>
  <c r="K173" i="1" s="1"/>
  <c r="J173" i="1"/>
  <c r="G173" i="1"/>
  <c r="AC172" i="1"/>
  <c r="AC171" i="1" s="1"/>
  <c r="AB172" i="1"/>
  <c r="AA172" i="1"/>
  <c r="AA171" i="1" s="1"/>
  <c r="Z172" i="1"/>
  <c r="Y172" i="1"/>
  <c r="Y171" i="1" s="1"/>
  <c r="X172" i="1"/>
  <c r="W172" i="1"/>
  <c r="W171" i="1" s="1"/>
  <c r="V172" i="1"/>
  <c r="U172" i="1"/>
  <c r="U171" i="1" s="1"/>
  <c r="T172" i="1"/>
  <c r="S172" i="1"/>
  <c r="S171" i="1" s="1"/>
  <c r="R172" i="1"/>
  <c r="Q172" i="1"/>
  <c r="Q171" i="1" s="1"/>
  <c r="P172" i="1"/>
  <c r="O172" i="1"/>
  <c r="O171" i="1" s="1"/>
  <c r="N172" i="1"/>
  <c r="M172" i="1"/>
  <c r="M171" i="1" s="1"/>
  <c r="I172" i="1"/>
  <c r="J172" i="1" s="1"/>
  <c r="H172" i="1"/>
  <c r="F172" i="1"/>
  <c r="E172" i="1"/>
  <c r="G172" i="1" s="1"/>
  <c r="AB171" i="1"/>
  <c r="Z171" i="1"/>
  <c r="X171" i="1"/>
  <c r="V171" i="1"/>
  <c r="T171" i="1"/>
  <c r="R171" i="1"/>
  <c r="P171" i="1"/>
  <c r="N171" i="1"/>
  <c r="H171" i="1"/>
  <c r="F171" i="1"/>
  <c r="S170" i="1"/>
  <c r="S169" i="1" s="1"/>
  <c r="L170" i="1"/>
  <c r="K170" i="1"/>
  <c r="J170" i="1"/>
  <c r="G170" i="1"/>
  <c r="AC169" i="1"/>
  <c r="AB169" i="1"/>
  <c r="AA169" i="1"/>
  <c r="Z169" i="1"/>
  <c r="Y169" i="1"/>
  <c r="X169" i="1"/>
  <c r="W169" i="1"/>
  <c r="V169" i="1"/>
  <c r="U169" i="1"/>
  <c r="T169" i="1"/>
  <c r="R169" i="1"/>
  <c r="Q169" i="1"/>
  <c r="P169" i="1"/>
  <c r="O169" i="1"/>
  <c r="N169" i="1"/>
  <c r="M169" i="1"/>
  <c r="L169" i="1"/>
  <c r="K169" i="1" s="1"/>
  <c r="J169" i="1"/>
  <c r="I169" i="1"/>
  <c r="H169" i="1"/>
  <c r="F169" i="1"/>
  <c r="G169" i="1" s="1"/>
  <c r="E169" i="1"/>
  <c r="S168" i="1"/>
  <c r="K168" i="1" s="1"/>
  <c r="I168" i="1" s="1"/>
  <c r="L168" i="1"/>
  <c r="G168" i="1"/>
  <c r="S167" i="1"/>
  <c r="S164" i="1" s="1"/>
  <c r="L167" i="1"/>
  <c r="K167" i="1" s="1"/>
  <c r="S166" i="1"/>
  <c r="L166" i="1"/>
  <c r="K166" i="1" s="1"/>
  <c r="I166" i="1" s="1"/>
  <c r="G166" i="1"/>
  <c r="S165" i="1"/>
  <c r="R165" i="1"/>
  <c r="R234" i="1" s="1"/>
  <c r="L165" i="1"/>
  <c r="J165" i="1"/>
  <c r="G165" i="1"/>
  <c r="AC164" i="1"/>
  <c r="AB164" i="1"/>
  <c r="AA164" i="1"/>
  <c r="Z164" i="1"/>
  <c r="Y164" i="1"/>
  <c r="X164" i="1"/>
  <c r="W164" i="1"/>
  <c r="V164" i="1"/>
  <c r="U164" i="1"/>
  <c r="T164" i="1"/>
  <c r="R164" i="1"/>
  <c r="Q164" i="1"/>
  <c r="P164" i="1"/>
  <c r="O164" i="1"/>
  <c r="N164" i="1"/>
  <c r="M164" i="1"/>
  <c r="L164" i="1"/>
  <c r="K164" i="1" s="1"/>
  <c r="H164" i="1"/>
  <c r="F164" i="1"/>
  <c r="G164" i="1" s="1"/>
  <c r="E164" i="1"/>
  <c r="S163" i="1"/>
  <c r="L163" i="1"/>
  <c r="K163" i="1"/>
  <c r="I163" i="1" s="1"/>
  <c r="G163" i="1"/>
  <c r="AC162" i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H162" i="1"/>
  <c r="F162" i="1"/>
  <c r="E162" i="1"/>
  <c r="G162" i="1" s="1"/>
  <c r="S161" i="1"/>
  <c r="L161" i="1"/>
  <c r="K161" i="1" s="1"/>
  <c r="J161" i="1"/>
  <c r="G161" i="1"/>
  <c r="S160" i="1"/>
  <c r="L160" i="1"/>
  <c r="K160" i="1"/>
  <c r="I160" i="1" s="1"/>
  <c r="G160" i="1"/>
  <c r="L159" i="1"/>
  <c r="K159" i="1" s="1"/>
  <c r="AC158" i="1"/>
  <c r="AB158" i="1"/>
  <c r="AA158" i="1"/>
  <c r="Z158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M158" i="1"/>
  <c r="H158" i="1"/>
  <c r="G158" i="1"/>
  <c r="F158" i="1"/>
  <c r="E158" i="1"/>
  <c r="S157" i="1"/>
  <c r="K157" i="1"/>
  <c r="J157" i="1"/>
  <c r="G157" i="1"/>
  <c r="AC156" i="1"/>
  <c r="AB156" i="1"/>
  <c r="AB145" i="1" s="1"/>
  <c r="AA156" i="1"/>
  <c r="Z156" i="1"/>
  <c r="Y156" i="1"/>
  <c r="X156" i="1"/>
  <c r="X145" i="1" s="1"/>
  <c r="W156" i="1"/>
  <c r="V156" i="1"/>
  <c r="U156" i="1"/>
  <c r="T156" i="1"/>
  <c r="T145" i="1" s="1"/>
  <c r="S156" i="1"/>
  <c r="R156" i="1"/>
  <c r="Q156" i="1"/>
  <c r="P156" i="1"/>
  <c r="O156" i="1"/>
  <c r="N156" i="1"/>
  <c r="M156" i="1"/>
  <c r="L156" i="1"/>
  <c r="K156" i="1" s="1"/>
  <c r="J156" i="1"/>
  <c r="I156" i="1"/>
  <c r="H156" i="1"/>
  <c r="H145" i="1" s="1"/>
  <c r="F156" i="1"/>
  <c r="G156" i="1" s="1"/>
  <c r="E156" i="1"/>
  <c r="S155" i="1"/>
  <c r="K155" i="1" s="1"/>
  <c r="L155" i="1"/>
  <c r="I155" i="1"/>
  <c r="I154" i="1" s="1"/>
  <c r="J154" i="1" s="1"/>
  <c r="G155" i="1"/>
  <c r="AC154" i="1"/>
  <c r="AB154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H154" i="1"/>
  <c r="G154" i="1"/>
  <c r="F154" i="1"/>
  <c r="E154" i="1"/>
  <c r="S153" i="1"/>
  <c r="L153" i="1"/>
  <c r="L149" i="1" s="1"/>
  <c r="J153" i="1"/>
  <c r="G153" i="1"/>
  <c r="S152" i="1"/>
  <c r="K152" i="1" s="1"/>
  <c r="I152" i="1" s="1"/>
  <c r="L152" i="1"/>
  <c r="G152" i="1"/>
  <c r="S151" i="1"/>
  <c r="S149" i="1" s="1"/>
  <c r="L151" i="1"/>
  <c r="K151" i="1"/>
  <c r="J151" i="1"/>
  <c r="G151" i="1"/>
  <c r="L150" i="1"/>
  <c r="K150" i="1"/>
  <c r="AC149" i="1"/>
  <c r="AB149" i="1"/>
  <c r="AA149" i="1"/>
  <c r="Z149" i="1"/>
  <c r="Y149" i="1"/>
  <c r="X149" i="1"/>
  <c r="W149" i="1"/>
  <c r="V149" i="1"/>
  <c r="U149" i="1"/>
  <c r="T149" i="1"/>
  <c r="R149" i="1"/>
  <c r="Q149" i="1"/>
  <c r="P149" i="1"/>
  <c r="O149" i="1"/>
  <c r="N149" i="1"/>
  <c r="M149" i="1"/>
  <c r="H149" i="1"/>
  <c r="F149" i="1"/>
  <c r="G149" i="1" s="1"/>
  <c r="E149" i="1"/>
  <c r="S148" i="1"/>
  <c r="L148" i="1"/>
  <c r="K148" i="1"/>
  <c r="J148" i="1"/>
  <c r="G148" i="1"/>
  <c r="L147" i="1"/>
  <c r="K147" i="1"/>
  <c r="I147" i="1" s="1"/>
  <c r="G147" i="1"/>
  <c r="AC146" i="1"/>
  <c r="AB146" i="1"/>
  <c r="AA146" i="1"/>
  <c r="AA145" i="1" s="1"/>
  <c r="Z146" i="1"/>
  <c r="Y146" i="1"/>
  <c r="X146" i="1"/>
  <c r="W146" i="1"/>
  <c r="W145" i="1" s="1"/>
  <c r="V146" i="1"/>
  <c r="U146" i="1"/>
  <c r="T146" i="1"/>
  <c r="S146" i="1"/>
  <c r="S145" i="1" s="1"/>
  <c r="R146" i="1"/>
  <c r="Q146" i="1"/>
  <c r="Q145" i="1" s="1"/>
  <c r="P146" i="1"/>
  <c r="O146" i="1"/>
  <c r="O145" i="1" s="1"/>
  <c r="N146" i="1"/>
  <c r="M146" i="1"/>
  <c r="M145" i="1" s="1"/>
  <c r="L146" i="1"/>
  <c r="K146" i="1"/>
  <c r="H146" i="1"/>
  <c r="F146" i="1"/>
  <c r="E146" i="1"/>
  <c r="G146" i="1" s="1"/>
  <c r="Z145" i="1"/>
  <c r="V145" i="1"/>
  <c r="R145" i="1"/>
  <c r="N145" i="1"/>
  <c r="F145" i="1"/>
  <c r="AC143" i="1"/>
  <c r="AC142" i="1" s="1"/>
  <c r="AB143" i="1"/>
  <c r="AA143" i="1"/>
  <c r="AA142" i="1" s="1"/>
  <c r="Z143" i="1"/>
  <c r="Y143" i="1"/>
  <c r="Y142" i="1" s="1"/>
  <c r="X143" i="1"/>
  <c r="W143" i="1"/>
  <c r="W142" i="1" s="1"/>
  <c r="V143" i="1"/>
  <c r="U143" i="1"/>
  <c r="U142" i="1" s="1"/>
  <c r="T143" i="1"/>
  <c r="S143" i="1"/>
  <c r="S142" i="1" s="1"/>
  <c r="R143" i="1"/>
  <c r="Q143" i="1"/>
  <c r="Q142" i="1" s="1"/>
  <c r="P143" i="1"/>
  <c r="O143" i="1"/>
  <c r="O142" i="1" s="1"/>
  <c r="N143" i="1"/>
  <c r="M143" i="1"/>
  <c r="M142" i="1" s="1"/>
  <c r="I143" i="1"/>
  <c r="H143" i="1"/>
  <c r="H142" i="1" s="1"/>
  <c r="F143" i="1"/>
  <c r="E143" i="1"/>
  <c r="E142" i="1" s="1"/>
  <c r="AB142" i="1"/>
  <c r="Z142" i="1"/>
  <c r="X142" i="1"/>
  <c r="V142" i="1"/>
  <c r="T142" i="1"/>
  <c r="R142" i="1"/>
  <c r="P142" i="1"/>
  <c r="N142" i="1"/>
  <c r="L142" i="1"/>
  <c r="K142" i="1"/>
  <c r="I142" i="1"/>
  <c r="F142" i="1"/>
  <c r="S140" i="1"/>
  <c r="M140" i="1"/>
  <c r="L140" i="1" s="1"/>
  <c r="K140" i="1" s="1"/>
  <c r="J140" i="1"/>
  <c r="G140" i="1"/>
  <c r="S139" i="1"/>
  <c r="M139" i="1"/>
  <c r="L139" i="1" s="1"/>
  <c r="K139" i="1" s="1"/>
  <c r="J139" i="1"/>
  <c r="G139" i="1"/>
  <c r="S138" i="1"/>
  <c r="L138" i="1"/>
  <c r="L135" i="1" s="1"/>
  <c r="J138" i="1"/>
  <c r="G138" i="1"/>
  <c r="S137" i="1"/>
  <c r="K137" i="1" s="1"/>
  <c r="L137" i="1"/>
  <c r="J137" i="1"/>
  <c r="G137" i="1"/>
  <c r="AC135" i="1"/>
  <c r="AB135" i="1"/>
  <c r="AA135" i="1"/>
  <c r="Z135" i="1"/>
  <c r="Y135" i="1"/>
  <c r="X135" i="1"/>
  <c r="W135" i="1"/>
  <c r="V135" i="1"/>
  <c r="U135" i="1"/>
  <c r="T135" i="1"/>
  <c r="R135" i="1"/>
  <c r="Q135" i="1"/>
  <c r="P135" i="1"/>
  <c r="O135" i="1"/>
  <c r="N135" i="1"/>
  <c r="J135" i="1"/>
  <c r="I135" i="1"/>
  <c r="H135" i="1"/>
  <c r="F135" i="1"/>
  <c r="G135" i="1" s="1"/>
  <c r="E135" i="1"/>
  <c r="S134" i="1"/>
  <c r="S133" i="1" s="1"/>
  <c r="L134" i="1"/>
  <c r="K134" i="1"/>
  <c r="J134" i="1"/>
  <c r="G134" i="1"/>
  <c r="AC133" i="1"/>
  <c r="AB133" i="1"/>
  <c r="AA133" i="1"/>
  <c r="Z133" i="1"/>
  <c r="Y133" i="1"/>
  <c r="X133" i="1"/>
  <c r="W133" i="1"/>
  <c r="V133" i="1"/>
  <c r="U133" i="1"/>
  <c r="T133" i="1"/>
  <c r="R133" i="1"/>
  <c r="Q133" i="1"/>
  <c r="P133" i="1"/>
  <c r="O133" i="1"/>
  <c r="N133" i="1"/>
  <c r="M133" i="1"/>
  <c r="L133" i="1"/>
  <c r="K133" i="1" s="1"/>
  <c r="J133" i="1"/>
  <c r="I133" i="1"/>
  <c r="H133" i="1"/>
  <c r="F133" i="1"/>
  <c r="G133" i="1" s="1"/>
  <c r="E133" i="1"/>
  <c r="S132" i="1"/>
  <c r="K132" i="1" s="1"/>
  <c r="L132" i="1"/>
  <c r="J132" i="1"/>
  <c r="G132" i="1"/>
  <c r="S131" i="1"/>
  <c r="L131" i="1"/>
  <c r="K131" i="1" s="1"/>
  <c r="J131" i="1"/>
  <c r="G131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I130" i="1"/>
  <c r="J130" i="1" s="1"/>
  <c r="H130" i="1"/>
  <c r="G130" i="1"/>
  <c r="F130" i="1"/>
  <c r="E130" i="1"/>
  <c r="S129" i="1"/>
  <c r="L129" i="1"/>
  <c r="K129" i="1" s="1"/>
  <c r="J129" i="1"/>
  <c r="G129" i="1"/>
  <c r="S128" i="1"/>
  <c r="K128" i="1" s="1"/>
  <c r="L128" i="1"/>
  <c r="J128" i="1"/>
  <c r="G128" i="1"/>
  <c r="S127" i="1"/>
  <c r="L127" i="1"/>
  <c r="K127" i="1" s="1"/>
  <c r="J127" i="1"/>
  <c r="G127" i="1"/>
  <c r="S126" i="1"/>
  <c r="L126" i="1"/>
  <c r="K126" i="1"/>
  <c r="J126" i="1"/>
  <c r="G126" i="1"/>
  <c r="S125" i="1"/>
  <c r="L125" i="1"/>
  <c r="K125" i="1" s="1"/>
  <c r="J125" i="1"/>
  <c r="G125" i="1"/>
  <c r="AC124" i="1"/>
  <c r="AB124" i="1"/>
  <c r="AA124" i="1"/>
  <c r="Z124" i="1"/>
  <c r="Y124" i="1"/>
  <c r="X124" i="1"/>
  <c r="W124" i="1"/>
  <c r="V124" i="1"/>
  <c r="U124" i="1"/>
  <c r="T124" i="1"/>
  <c r="R124" i="1"/>
  <c r="Q124" i="1"/>
  <c r="P124" i="1"/>
  <c r="O124" i="1"/>
  <c r="N124" i="1"/>
  <c r="M124" i="1"/>
  <c r="I124" i="1"/>
  <c r="J124" i="1" s="1"/>
  <c r="H124" i="1"/>
  <c r="F124" i="1"/>
  <c r="E124" i="1"/>
  <c r="G124" i="1" s="1"/>
  <c r="S123" i="1"/>
  <c r="L123" i="1"/>
  <c r="K123" i="1" s="1"/>
  <c r="J123" i="1"/>
  <c r="G123" i="1"/>
  <c r="S122" i="1"/>
  <c r="S121" i="1" s="1"/>
  <c r="L122" i="1"/>
  <c r="K122" i="1" s="1"/>
  <c r="AC121" i="1"/>
  <c r="AB121" i="1"/>
  <c r="AA121" i="1"/>
  <c r="Z121" i="1"/>
  <c r="Y121" i="1"/>
  <c r="X121" i="1"/>
  <c r="W121" i="1"/>
  <c r="V121" i="1"/>
  <c r="U121" i="1"/>
  <c r="T121" i="1"/>
  <c r="R121" i="1"/>
  <c r="Q121" i="1"/>
  <c r="P121" i="1"/>
  <c r="O121" i="1"/>
  <c r="N121" i="1"/>
  <c r="M121" i="1"/>
  <c r="L121" i="1"/>
  <c r="I121" i="1"/>
  <c r="H121" i="1"/>
  <c r="F121" i="1"/>
  <c r="E121" i="1"/>
  <c r="J121" i="1" s="1"/>
  <c r="L120" i="1"/>
  <c r="K120" i="1" s="1"/>
  <c r="I120" i="1"/>
  <c r="I114" i="1" s="1"/>
  <c r="S119" i="1"/>
  <c r="L119" i="1"/>
  <c r="K119" i="1" s="1"/>
  <c r="J119" i="1"/>
  <c r="G119" i="1"/>
  <c r="S118" i="1"/>
  <c r="L118" i="1"/>
  <c r="K118" i="1"/>
  <c r="J118" i="1"/>
  <c r="G118" i="1"/>
  <c r="S117" i="1"/>
  <c r="L117" i="1"/>
  <c r="J117" i="1"/>
  <c r="G117" i="1"/>
  <c r="S116" i="1"/>
  <c r="L116" i="1"/>
  <c r="J116" i="1"/>
  <c r="G116" i="1"/>
  <c r="AC114" i="1"/>
  <c r="AB114" i="1"/>
  <c r="AA114" i="1"/>
  <c r="AA113" i="1" s="1"/>
  <c r="Z114" i="1"/>
  <c r="Z113" i="1" s="1"/>
  <c r="Y114" i="1"/>
  <c r="X114" i="1"/>
  <c r="W114" i="1"/>
  <c r="W113" i="1" s="1"/>
  <c r="V114" i="1"/>
  <c r="V113" i="1" s="1"/>
  <c r="U114" i="1"/>
  <c r="T114" i="1"/>
  <c r="R114" i="1"/>
  <c r="R113" i="1" s="1"/>
  <c r="Q114" i="1"/>
  <c r="P114" i="1"/>
  <c r="P113" i="1" s="1"/>
  <c r="O114" i="1"/>
  <c r="N114" i="1"/>
  <c r="N113" i="1" s="1"/>
  <c r="M114" i="1"/>
  <c r="L114" i="1"/>
  <c r="H114" i="1"/>
  <c r="H113" i="1" s="1"/>
  <c r="F114" i="1"/>
  <c r="E114" i="1"/>
  <c r="J114" i="1" s="1"/>
  <c r="S112" i="1"/>
  <c r="L112" i="1"/>
  <c r="J112" i="1"/>
  <c r="G112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I111" i="1"/>
  <c r="H111" i="1"/>
  <c r="F111" i="1"/>
  <c r="E111" i="1"/>
  <c r="G111" i="1" s="1"/>
  <c r="S110" i="1"/>
  <c r="S240" i="1" s="1"/>
  <c r="L110" i="1"/>
  <c r="L240" i="1" s="1"/>
  <c r="J110" i="1"/>
  <c r="G110" i="1"/>
  <c r="S109" i="1"/>
  <c r="L109" i="1"/>
  <c r="K109" i="1"/>
  <c r="J109" i="1"/>
  <c r="G109" i="1"/>
  <c r="S108" i="1"/>
  <c r="L108" i="1"/>
  <c r="K108" i="1" s="1"/>
  <c r="J108" i="1"/>
  <c r="G108" i="1"/>
  <c r="S107" i="1"/>
  <c r="K107" i="1" s="1"/>
  <c r="L107" i="1"/>
  <c r="J107" i="1"/>
  <c r="G107" i="1"/>
  <c r="S106" i="1"/>
  <c r="L106" i="1"/>
  <c r="K106" i="1" s="1"/>
  <c r="J106" i="1"/>
  <c r="G106" i="1"/>
  <c r="S104" i="1"/>
  <c r="S99" i="1" s="1"/>
  <c r="L104" i="1"/>
  <c r="K104" i="1"/>
  <c r="J104" i="1"/>
  <c r="G104" i="1"/>
  <c r="S103" i="1"/>
  <c r="K103" i="1"/>
  <c r="J103" i="1"/>
  <c r="G103" i="1"/>
  <c r="AC99" i="1"/>
  <c r="AB99" i="1"/>
  <c r="AA99" i="1"/>
  <c r="Z99" i="1"/>
  <c r="Y99" i="1"/>
  <c r="X99" i="1"/>
  <c r="W99" i="1"/>
  <c r="V99" i="1"/>
  <c r="U99" i="1"/>
  <c r="T99" i="1"/>
  <c r="R99" i="1"/>
  <c r="Q99" i="1"/>
  <c r="P99" i="1"/>
  <c r="O99" i="1"/>
  <c r="N99" i="1"/>
  <c r="M99" i="1"/>
  <c r="L99" i="1"/>
  <c r="J99" i="1"/>
  <c r="I99" i="1"/>
  <c r="H99" i="1"/>
  <c r="F99" i="1"/>
  <c r="G99" i="1" s="1"/>
  <c r="E99" i="1"/>
  <c r="S98" i="1"/>
  <c r="L98" i="1"/>
  <c r="J98" i="1"/>
  <c r="G98" i="1"/>
  <c r="AC97" i="1"/>
  <c r="AB97" i="1"/>
  <c r="AA97" i="1"/>
  <c r="Z97" i="1"/>
  <c r="Y97" i="1"/>
  <c r="X97" i="1"/>
  <c r="W97" i="1"/>
  <c r="V97" i="1"/>
  <c r="U97" i="1"/>
  <c r="T97" i="1"/>
  <c r="R97" i="1"/>
  <c r="R94" i="1" s="1"/>
  <c r="Q97" i="1"/>
  <c r="P97" i="1"/>
  <c r="O97" i="1"/>
  <c r="N97" i="1"/>
  <c r="N94" i="1" s="1"/>
  <c r="M97" i="1"/>
  <c r="L97" i="1"/>
  <c r="J97" i="1"/>
  <c r="I97" i="1"/>
  <c r="H97" i="1"/>
  <c r="F97" i="1"/>
  <c r="G97" i="1" s="1"/>
  <c r="E97" i="1"/>
  <c r="S96" i="1"/>
  <c r="S95" i="1" s="1"/>
  <c r="L96" i="1"/>
  <c r="K96" i="1"/>
  <c r="J96" i="1"/>
  <c r="G96" i="1"/>
  <c r="AC95" i="1"/>
  <c r="AB95" i="1"/>
  <c r="AA95" i="1"/>
  <c r="Z95" i="1"/>
  <c r="Y95" i="1"/>
  <c r="X95" i="1"/>
  <c r="W95" i="1"/>
  <c r="V95" i="1"/>
  <c r="U95" i="1"/>
  <c r="T95" i="1"/>
  <c r="R95" i="1"/>
  <c r="Q95" i="1"/>
  <c r="P95" i="1"/>
  <c r="P94" i="1" s="1"/>
  <c r="O95" i="1"/>
  <c r="N95" i="1"/>
  <c r="M95" i="1"/>
  <c r="L95" i="1"/>
  <c r="J95" i="1"/>
  <c r="I95" i="1"/>
  <c r="H95" i="1"/>
  <c r="F95" i="1"/>
  <c r="G95" i="1" s="1"/>
  <c r="E95" i="1"/>
  <c r="AC94" i="1"/>
  <c r="AA94" i="1"/>
  <c r="Y94" i="1"/>
  <c r="W94" i="1"/>
  <c r="U94" i="1"/>
  <c r="Q94" i="1"/>
  <c r="O94" i="1"/>
  <c r="M94" i="1"/>
  <c r="I94" i="1"/>
  <c r="E94" i="1"/>
  <c r="J94" i="1" s="1"/>
  <c r="S93" i="1"/>
  <c r="S228" i="1" s="1"/>
  <c r="L93" i="1"/>
  <c r="L228" i="1" s="1"/>
  <c r="J93" i="1"/>
  <c r="G93" i="1"/>
  <c r="S92" i="1"/>
  <c r="L92" i="1"/>
  <c r="L227" i="1" s="1"/>
  <c r="K92" i="1"/>
  <c r="K227" i="1" s="1"/>
  <c r="J92" i="1"/>
  <c r="G92" i="1"/>
  <c r="AC91" i="1"/>
  <c r="AB91" i="1"/>
  <c r="AA91" i="1"/>
  <c r="Z91" i="1"/>
  <c r="Y91" i="1"/>
  <c r="X91" i="1"/>
  <c r="W91" i="1"/>
  <c r="V91" i="1"/>
  <c r="U91" i="1"/>
  <c r="T91" i="1"/>
  <c r="R91" i="1"/>
  <c r="Q91" i="1"/>
  <c r="P91" i="1"/>
  <c r="O91" i="1"/>
  <c r="N91" i="1"/>
  <c r="M91" i="1"/>
  <c r="I91" i="1"/>
  <c r="J91" i="1" s="1"/>
  <c r="H91" i="1"/>
  <c r="G91" i="1"/>
  <c r="F91" i="1"/>
  <c r="E91" i="1"/>
  <c r="S87" i="1"/>
  <c r="L87" i="1"/>
  <c r="K87" i="1" s="1"/>
  <c r="J87" i="1"/>
  <c r="G87" i="1"/>
  <c r="S86" i="1"/>
  <c r="S85" i="1" s="1"/>
  <c r="L86" i="1"/>
  <c r="J86" i="1"/>
  <c r="G86" i="1"/>
  <c r="AC85" i="1"/>
  <c r="AB85" i="1"/>
  <c r="AA85" i="1"/>
  <c r="Z85" i="1"/>
  <c r="Y85" i="1"/>
  <c r="X85" i="1"/>
  <c r="W85" i="1"/>
  <c r="V85" i="1"/>
  <c r="U85" i="1"/>
  <c r="T85" i="1"/>
  <c r="R85" i="1"/>
  <c r="Q85" i="1"/>
  <c r="P85" i="1"/>
  <c r="O85" i="1"/>
  <c r="N85" i="1"/>
  <c r="M85" i="1"/>
  <c r="I85" i="1"/>
  <c r="H85" i="1"/>
  <c r="F85" i="1"/>
  <c r="E85" i="1"/>
  <c r="J85" i="1" s="1"/>
  <c r="S84" i="1"/>
  <c r="L84" i="1"/>
  <c r="K84" i="1"/>
  <c r="S83" i="1"/>
  <c r="L83" i="1"/>
  <c r="K83" i="1" s="1"/>
  <c r="J83" i="1"/>
  <c r="G83" i="1"/>
  <c r="S82" i="1"/>
  <c r="L82" i="1"/>
  <c r="K82" i="1"/>
  <c r="J82" i="1"/>
  <c r="G82" i="1"/>
  <c r="S81" i="1"/>
  <c r="L81" i="1"/>
  <c r="K81" i="1" s="1"/>
  <c r="J81" i="1"/>
  <c r="G81" i="1"/>
  <c r="S80" i="1"/>
  <c r="K80" i="1" s="1"/>
  <c r="L80" i="1"/>
  <c r="J80" i="1"/>
  <c r="G80" i="1"/>
  <c r="S79" i="1"/>
  <c r="L79" i="1"/>
  <c r="K79" i="1" s="1"/>
  <c r="J79" i="1"/>
  <c r="G79" i="1"/>
  <c r="S78" i="1"/>
  <c r="L78" i="1"/>
  <c r="K78" i="1"/>
  <c r="J78" i="1"/>
  <c r="G78" i="1"/>
  <c r="S77" i="1"/>
  <c r="K77" i="1"/>
  <c r="J77" i="1"/>
  <c r="G77" i="1"/>
  <c r="S76" i="1"/>
  <c r="L76" i="1"/>
  <c r="L74" i="1" s="1"/>
  <c r="K74" i="1" s="1"/>
  <c r="J76" i="1"/>
  <c r="G76" i="1"/>
  <c r="S75" i="1"/>
  <c r="S231" i="1" s="1"/>
  <c r="L75" i="1"/>
  <c r="L231" i="1" s="1"/>
  <c r="I75" i="1"/>
  <c r="I74" i="1" s="1"/>
  <c r="J74" i="1" s="1"/>
  <c r="G75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H74" i="1"/>
  <c r="G74" i="1"/>
  <c r="F74" i="1"/>
  <c r="E74" i="1"/>
  <c r="S73" i="1"/>
  <c r="L73" i="1"/>
  <c r="K73" i="1" s="1"/>
  <c r="J73" i="1"/>
  <c r="H73" i="1"/>
  <c r="H234" i="1" s="1"/>
  <c r="G73" i="1"/>
  <c r="S72" i="1"/>
  <c r="L72" i="1"/>
  <c r="K72" i="1" s="1"/>
  <c r="J72" i="1"/>
  <c r="G72" i="1"/>
  <c r="S70" i="1"/>
  <c r="L70" i="1"/>
  <c r="K70" i="1"/>
  <c r="J70" i="1"/>
  <c r="G70" i="1"/>
  <c r="S69" i="1"/>
  <c r="L69" i="1"/>
  <c r="L65" i="1" s="1"/>
  <c r="K65" i="1" s="1"/>
  <c r="J69" i="1"/>
  <c r="G69" i="1"/>
  <c r="S68" i="1"/>
  <c r="K68" i="1" s="1"/>
  <c r="J68" i="1"/>
  <c r="G68" i="1"/>
  <c r="S67" i="1"/>
  <c r="K67" i="1" s="1"/>
  <c r="L67" i="1"/>
  <c r="J67" i="1"/>
  <c r="G67" i="1"/>
  <c r="S66" i="1"/>
  <c r="K66" i="1"/>
  <c r="J66" i="1"/>
  <c r="H66" i="1"/>
  <c r="G66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I65" i="1"/>
  <c r="J65" i="1" s="1"/>
  <c r="F65" i="1"/>
  <c r="E65" i="1"/>
  <c r="G65" i="1" s="1"/>
  <c r="S63" i="1"/>
  <c r="L63" i="1"/>
  <c r="K63" i="1" s="1"/>
  <c r="J63" i="1"/>
  <c r="G63" i="1"/>
  <c r="AC62" i="1"/>
  <c r="AC61" i="1" s="1"/>
  <c r="AB62" i="1"/>
  <c r="AA62" i="1"/>
  <c r="AA61" i="1" s="1"/>
  <c r="Z62" i="1"/>
  <c r="Y62" i="1"/>
  <c r="Y61" i="1" s="1"/>
  <c r="X62" i="1"/>
  <c r="W62" i="1"/>
  <c r="W61" i="1" s="1"/>
  <c r="V62" i="1"/>
  <c r="U62" i="1"/>
  <c r="U61" i="1" s="1"/>
  <c r="T62" i="1"/>
  <c r="S62" i="1"/>
  <c r="R62" i="1"/>
  <c r="Q62" i="1"/>
  <c r="Q61" i="1" s="1"/>
  <c r="P62" i="1"/>
  <c r="O62" i="1"/>
  <c r="O61" i="1" s="1"/>
  <c r="N62" i="1"/>
  <c r="M62" i="1"/>
  <c r="M61" i="1" s="1"/>
  <c r="I62" i="1"/>
  <c r="J62" i="1" s="1"/>
  <c r="H62" i="1"/>
  <c r="G62" i="1"/>
  <c r="F62" i="1"/>
  <c r="E62" i="1"/>
  <c r="E61" i="1" s="1"/>
  <c r="AB61" i="1"/>
  <c r="Z61" i="1"/>
  <c r="X61" i="1"/>
  <c r="V61" i="1"/>
  <c r="T61" i="1"/>
  <c r="R61" i="1"/>
  <c r="P61" i="1"/>
  <c r="N61" i="1"/>
  <c r="F61" i="1"/>
  <c r="S60" i="1"/>
  <c r="K60" i="1" s="1"/>
  <c r="L60" i="1"/>
  <c r="J60" i="1"/>
  <c r="G60" i="1"/>
  <c r="S59" i="1"/>
  <c r="L59" i="1"/>
  <c r="K59" i="1" s="1"/>
  <c r="J59" i="1"/>
  <c r="G59" i="1"/>
  <c r="AC58" i="1"/>
  <c r="AC57" i="1" s="1"/>
  <c r="AB58" i="1"/>
  <c r="AA58" i="1"/>
  <c r="AA57" i="1" s="1"/>
  <c r="Z58" i="1"/>
  <c r="Y58" i="1"/>
  <c r="Y57" i="1" s="1"/>
  <c r="X58" i="1"/>
  <c r="W58" i="1"/>
  <c r="W57" i="1" s="1"/>
  <c r="V58" i="1"/>
  <c r="U58" i="1"/>
  <c r="U57" i="1" s="1"/>
  <c r="T58" i="1"/>
  <c r="S58" i="1"/>
  <c r="S57" i="1" s="1"/>
  <c r="R58" i="1"/>
  <c r="Q58" i="1"/>
  <c r="Q57" i="1" s="1"/>
  <c r="P58" i="1"/>
  <c r="O58" i="1"/>
  <c r="O57" i="1" s="1"/>
  <c r="N58" i="1"/>
  <c r="M58" i="1"/>
  <c r="M57" i="1" s="1"/>
  <c r="I58" i="1"/>
  <c r="J58" i="1" s="1"/>
  <c r="H58" i="1"/>
  <c r="G58" i="1"/>
  <c r="F58" i="1"/>
  <c r="E58" i="1"/>
  <c r="E57" i="1" s="1"/>
  <c r="AB57" i="1"/>
  <c r="Z57" i="1"/>
  <c r="X57" i="1"/>
  <c r="V57" i="1"/>
  <c r="T57" i="1"/>
  <c r="R57" i="1"/>
  <c r="P57" i="1"/>
  <c r="N57" i="1"/>
  <c r="H57" i="1"/>
  <c r="F57" i="1"/>
  <c r="G57" i="1" s="1"/>
  <c r="S56" i="1"/>
  <c r="K56" i="1" s="1"/>
  <c r="L56" i="1"/>
  <c r="J56" i="1"/>
  <c r="G56" i="1"/>
  <c r="AC55" i="1"/>
  <c r="AB55" i="1"/>
  <c r="AA55" i="1"/>
  <c r="Z55" i="1"/>
  <c r="Y55" i="1"/>
  <c r="X55" i="1"/>
  <c r="W55" i="1"/>
  <c r="V55" i="1"/>
  <c r="U55" i="1"/>
  <c r="T55" i="1"/>
  <c r="R55" i="1"/>
  <c r="Q55" i="1"/>
  <c r="P55" i="1"/>
  <c r="O55" i="1"/>
  <c r="N55" i="1"/>
  <c r="M55" i="1"/>
  <c r="L55" i="1"/>
  <c r="J55" i="1"/>
  <c r="I55" i="1"/>
  <c r="H55" i="1"/>
  <c r="F55" i="1"/>
  <c r="G55" i="1" s="1"/>
  <c r="E55" i="1"/>
  <c r="S54" i="1"/>
  <c r="S53" i="1" s="1"/>
  <c r="L54" i="1"/>
  <c r="K54" i="1"/>
  <c r="J54" i="1"/>
  <c r="G54" i="1"/>
  <c r="AC53" i="1"/>
  <c r="AB53" i="1"/>
  <c r="AB52" i="1" s="1"/>
  <c r="AA53" i="1"/>
  <c r="Z53" i="1"/>
  <c r="Z52" i="1" s="1"/>
  <c r="Y53" i="1"/>
  <c r="X53" i="1"/>
  <c r="X52" i="1" s="1"/>
  <c r="W53" i="1"/>
  <c r="V53" i="1"/>
  <c r="V52" i="1" s="1"/>
  <c r="U53" i="1"/>
  <c r="T53" i="1"/>
  <c r="T52" i="1" s="1"/>
  <c r="R53" i="1"/>
  <c r="R52" i="1" s="1"/>
  <c r="Q53" i="1"/>
  <c r="P53" i="1"/>
  <c r="P52" i="1" s="1"/>
  <c r="O53" i="1"/>
  <c r="N53" i="1"/>
  <c r="N52" i="1" s="1"/>
  <c r="M53" i="1"/>
  <c r="L53" i="1"/>
  <c r="K53" i="1" s="1"/>
  <c r="J53" i="1"/>
  <c r="I53" i="1"/>
  <c r="H53" i="1"/>
  <c r="H52" i="1" s="1"/>
  <c r="F53" i="1"/>
  <c r="G53" i="1" s="1"/>
  <c r="E53" i="1"/>
  <c r="AC52" i="1"/>
  <c r="AA52" i="1"/>
  <c r="Y52" i="1"/>
  <c r="W52" i="1"/>
  <c r="U52" i="1"/>
  <c r="Q52" i="1"/>
  <c r="O52" i="1"/>
  <c r="M52" i="1"/>
  <c r="I52" i="1"/>
  <c r="J52" i="1" s="1"/>
  <c r="E52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I50" i="1"/>
  <c r="H50" i="1"/>
  <c r="F50" i="1"/>
  <c r="E50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I48" i="1"/>
  <c r="H48" i="1"/>
  <c r="F48" i="1"/>
  <c r="E48" i="1"/>
  <c r="S47" i="1"/>
  <c r="K47" i="1" s="1"/>
  <c r="L47" i="1"/>
  <c r="J47" i="1"/>
  <c r="G47" i="1"/>
  <c r="S45" i="1"/>
  <c r="L45" i="1"/>
  <c r="K45" i="1" s="1"/>
  <c r="J45" i="1"/>
  <c r="G45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I44" i="1"/>
  <c r="J44" i="1" s="1"/>
  <c r="H44" i="1"/>
  <c r="G44" i="1"/>
  <c r="F44" i="1"/>
  <c r="E44" i="1"/>
  <c r="S42" i="1"/>
  <c r="M42" i="1"/>
  <c r="L42" i="1" s="1"/>
  <c r="G42" i="1"/>
  <c r="AC41" i="1"/>
  <c r="AC40" i="1" s="1"/>
  <c r="AB41" i="1"/>
  <c r="AA41" i="1"/>
  <c r="AA40" i="1" s="1"/>
  <c r="Z41" i="1"/>
  <c r="Y41" i="1"/>
  <c r="Y40" i="1" s="1"/>
  <c r="X41" i="1"/>
  <c r="W41" i="1"/>
  <c r="W40" i="1" s="1"/>
  <c r="V41" i="1"/>
  <c r="U41" i="1"/>
  <c r="U40" i="1" s="1"/>
  <c r="T41" i="1"/>
  <c r="S41" i="1"/>
  <c r="S40" i="1" s="1"/>
  <c r="R41" i="1"/>
  <c r="Q41" i="1"/>
  <c r="Q40" i="1" s="1"/>
  <c r="P41" i="1"/>
  <c r="O41" i="1"/>
  <c r="O40" i="1" s="1"/>
  <c r="N41" i="1"/>
  <c r="M41" i="1"/>
  <c r="M40" i="1" s="1"/>
  <c r="H41" i="1"/>
  <c r="G41" i="1"/>
  <c r="F41" i="1"/>
  <c r="E41" i="1"/>
  <c r="E40" i="1" s="1"/>
  <c r="AB40" i="1"/>
  <c r="Z40" i="1"/>
  <c r="X40" i="1"/>
  <c r="V40" i="1"/>
  <c r="T40" i="1"/>
  <c r="R40" i="1"/>
  <c r="P40" i="1"/>
  <c r="N40" i="1"/>
  <c r="H40" i="1"/>
  <c r="F40" i="1"/>
  <c r="S39" i="1"/>
  <c r="K39" i="1" s="1"/>
  <c r="L39" i="1"/>
  <c r="J39" i="1"/>
  <c r="G39" i="1"/>
  <c r="S35" i="1"/>
  <c r="S237" i="1" s="1"/>
  <c r="L35" i="1"/>
  <c r="L237" i="1" s="1"/>
  <c r="J35" i="1"/>
  <c r="G35" i="1"/>
  <c r="S34" i="1"/>
  <c r="S238" i="1" s="1"/>
  <c r="L34" i="1"/>
  <c r="L238" i="1" s="1"/>
  <c r="K34" i="1"/>
  <c r="K238" i="1" s="1"/>
  <c r="J34" i="1"/>
  <c r="G34" i="1"/>
  <c r="S33" i="1"/>
  <c r="L33" i="1"/>
  <c r="K33" i="1" s="1"/>
  <c r="J33" i="1"/>
  <c r="G33" i="1"/>
  <c r="S32" i="1"/>
  <c r="L32" i="1"/>
  <c r="K32" i="1"/>
  <c r="J32" i="1"/>
  <c r="G32" i="1"/>
  <c r="S30" i="1"/>
  <c r="L30" i="1"/>
  <c r="K30" i="1" s="1"/>
  <c r="J30" i="1"/>
  <c r="G30" i="1"/>
  <c r="S29" i="1"/>
  <c r="S28" i="1" s="1"/>
  <c r="L29" i="1"/>
  <c r="K29" i="1"/>
  <c r="J29" i="1"/>
  <c r="G29" i="1"/>
  <c r="AC28" i="1"/>
  <c r="AB28" i="1"/>
  <c r="AB27" i="1" s="1"/>
  <c r="AA28" i="1"/>
  <c r="Z28" i="1"/>
  <c r="Z27" i="1" s="1"/>
  <c r="Y28" i="1"/>
  <c r="X28" i="1"/>
  <c r="X27" i="1" s="1"/>
  <c r="W28" i="1"/>
  <c r="V28" i="1"/>
  <c r="V27" i="1" s="1"/>
  <c r="U28" i="1"/>
  <c r="T28" i="1"/>
  <c r="T27" i="1" s="1"/>
  <c r="R28" i="1"/>
  <c r="R27" i="1" s="1"/>
  <c r="Q28" i="1"/>
  <c r="P28" i="1"/>
  <c r="P27" i="1" s="1"/>
  <c r="O28" i="1"/>
  <c r="N28" i="1"/>
  <c r="N27" i="1" s="1"/>
  <c r="M28" i="1"/>
  <c r="L28" i="1"/>
  <c r="J28" i="1"/>
  <c r="I28" i="1"/>
  <c r="H28" i="1"/>
  <c r="H27" i="1" s="1"/>
  <c r="F28" i="1"/>
  <c r="G28" i="1" s="1"/>
  <c r="E28" i="1"/>
  <c r="AC27" i="1"/>
  <c r="AA27" i="1"/>
  <c r="Y27" i="1"/>
  <c r="W27" i="1"/>
  <c r="U27" i="1"/>
  <c r="S27" i="1"/>
  <c r="Q27" i="1"/>
  <c r="O27" i="1"/>
  <c r="M27" i="1"/>
  <c r="I27" i="1"/>
  <c r="E27" i="1"/>
  <c r="S23" i="1"/>
  <c r="L23" i="1"/>
  <c r="J23" i="1"/>
  <c r="G23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I22" i="1"/>
  <c r="H22" i="1"/>
  <c r="G22" i="1"/>
  <c r="F22" i="1"/>
  <c r="E22" i="1"/>
  <c r="S21" i="1"/>
  <c r="L21" i="1"/>
  <c r="J21" i="1"/>
  <c r="G21" i="1"/>
  <c r="AC20" i="1"/>
  <c r="AC19" i="1" s="1"/>
  <c r="AB20" i="1"/>
  <c r="AA20" i="1"/>
  <c r="AA19" i="1" s="1"/>
  <c r="Z20" i="1"/>
  <c r="Y20" i="1"/>
  <c r="Y19" i="1" s="1"/>
  <c r="X20" i="1"/>
  <c r="W20" i="1"/>
  <c r="W19" i="1" s="1"/>
  <c r="V20" i="1"/>
  <c r="U20" i="1"/>
  <c r="U19" i="1" s="1"/>
  <c r="T20" i="1"/>
  <c r="S20" i="1"/>
  <c r="S19" i="1" s="1"/>
  <c r="R20" i="1"/>
  <c r="Q20" i="1"/>
  <c r="Q19" i="1" s="1"/>
  <c r="P20" i="1"/>
  <c r="O20" i="1"/>
  <c r="O19" i="1" s="1"/>
  <c r="N20" i="1"/>
  <c r="M20" i="1"/>
  <c r="M19" i="1" s="1"/>
  <c r="I20" i="1"/>
  <c r="H20" i="1"/>
  <c r="G20" i="1"/>
  <c r="F20" i="1"/>
  <c r="E20" i="1"/>
  <c r="E19" i="1" s="1"/>
  <c r="AB19" i="1"/>
  <c r="Z19" i="1"/>
  <c r="X19" i="1"/>
  <c r="V19" i="1"/>
  <c r="T19" i="1"/>
  <c r="R19" i="1"/>
  <c r="P19" i="1"/>
  <c r="N19" i="1"/>
  <c r="H19" i="1"/>
  <c r="F19" i="1"/>
  <c r="G19" i="1" s="1"/>
  <c r="S18" i="1"/>
  <c r="S17" i="1" s="1"/>
  <c r="L18" i="1"/>
  <c r="K18" i="1"/>
  <c r="J18" i="1"/>
  <c r="G18" i="1"/>
  <c r="AC17" i="1"/>
  <c r="AB17" i="1"/>
  <c r="AB16" i="1" s="1"/>
  <c r="AA17" i="1"/>
  <c r="Z17" i="1"/>
  <c r="Z16" i="1" s="1"/>
  <c r="Y17" i="1"/>
  <c r="X17" i="1"/>
  <c r="X16" i="1" s="1"/>
  <c r="W17" i="1"/>
  <c r="V17" i="1"/>
  <c r="V16" i="1" s="1"/>
  <c r="U17" i="1"/>
  <c r="T17" i="1"/>
  <c r="T16" i="1" s="1"/>
  <c r="R17" i="1"/>
  <c r="R16" i="1" s="1"/>
  <c r="Q17" i="1"/>
  <c r="P17" i="1"/>
  <c r="P16" i="1" s="1"/>
  <c r="O17" i="1"/>
  <c r="N17" i="1"/>
  <c r="M17" i="1"/>
  <c r="L17" i="1"/>
  <c r="J17" i="1"/>
  <c r="I17" i="1"/>
  <c r="H17" i="1"/>
  <c r="H16" i="1" s="1"/>
  <c r="F17" i="1"/>
  <c r="G17" i="1" s="1"/>
  <c r="E17" i="1"/>
  <c r="AC16" i="1"/>
  <c r="AA16" i="1"/>
  <c r="Y16" i="1"/>
  <c r="W16" i="1"/>
  <c r="U16" i="1"/>
  <c r="S16" i="1"/>
  <c r="Q16" i="1"/>
  <c r="O16" i="1"/>
  <c r="N16" i="1"/>
  <c r="M16" i="1"/>
  <c r="I16" i="1"/>
  <c r="F16" i="1"/>
  <c r="G16" i="1" s="1"/>
  <c r="E16" i="1"/>
  <c r="J16" i="1" s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I14" i="1"/>
  <c r="H14" i="1"/>
  <c r="F14" i="1"/>
  <c r="E14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I13" i="1"/>
  <c r="H13" i="1"/>
  <c r="E13" i="1"/>
  <c r="S12" i="1"/>
  <c r="L12" i="1"/>
  <c r="K12" i="1" s="1"/>
  <c r="J12" i="1"/>
  <c r="G12" i="1"/>
  <c r="L11" i="1"/>
  <c r="K11" i="1" s="1"/>
  <c r="S10" i="1"/>
  <c r="S9" i="1" s="1"/>
  <c r="L10" i="1"/>
  <c r="K10" i="1" s="1"/>
  <c r="J10" i="1"/>
  <c r="G10" i="1"/>
  <c r="AC9" i="1"/>
  <c r="AB9" i="1"/>
  <c r="AA9" i="1"/>
  <c r="Z9" i="1"/>
  <c r="Y9" i="1"/>
  <c r="X9" i="1"/>
  <c r="W9" i="1"/>
  <c r="V9" i="1"/>
  <c r="U9" i="1"/>
  <c r="T9" i="1"/>
  <c r="R9" i="1"/>
  <c r="Q9" i="1"/>
  <c r="P9" i="1"/>
  <c r="O9" i="1"/>
  <c r="N9" i="1"/>
  <c r="M9" i="1"/>
  <c r="J9" i="1"/>
  <c r="I9" i="1"/>
  <c r="H9" i="1"/>
  <c r="F9" i="1"/>
  <c r="G9" i="1" s="1"/>
  <c r="E9" i="1"/>
  <c r="S8" i="1"/>
  <c r="L8" i="1"/>
  <c r="K8" i="1" s="1"/>
  <c r="S7" i="1"/>
  <c r="L7" i="1"/>
  <c r="K7" i="1" s="1"/>
  <c r="G7" i="1"/>
  <c r="AC6" i="1"/>
  <c r="AC5" i="1" s="1"/>
  <c r="AB6" i="1"/>
  <c r="AA6" i="1"/>
  <c r="AA5" i="1" s="1"/>
  <c r="Z6" i="1"/>
  <c r="Z5" i="1" s="1"/>
  <c r="Y6" i="1"/>
  <c r="X6" i="1"/>
  <c r="W6" i="1"/>
  <c r="W5" i="1" s="1"/>
  <c r="V6" i="1"/>
  <c r="V5" i="1" s="1"/>
  <c r="U6" i="1"/>
  <c r="U5" i="1" s="1"/>
  <c r="T6" i="1"/>
  <c r="S6" i="1"/>
  <c r="R6" i="1"/>
  <c r="R5" i="1" s="1"/>
  <c r="Q6" i="1"/>
  <c r="P6" i="1"/>
  <c r="O6" i="1"/>
  <c r="O5" i="1" s="1"/>
  <c r="N6" i="1"/>
  <c r="N5" i="1" s="1"/>
  <c r="M6" i="1"/>
  <c r="M5" i="1" s="1"/>
  <c r="I6" i="1"/>
  <c r="H6" i="1"/>
  <c r="F6" i="1"/>
  <c r="F5" i="1" s="1"/>
  <c r="E6" i="1"/>
  <c r="AB5" i="1"/>
  <c r="Y5" i="1"/>
  <c r="X5" i="1"/>
  <c r="T5" i="1"/>
  <c r="Q5" i="1"/>
  <c r="P5" i="1"/>
  <c r="I5" i="1"/>
  <c r="H5" i="1"/>
  <c r="E5" i="1"/>
  <c r="J5" i="1" s="1"/>
  <c r="G121" i="1" l="1"/>
  <c r="K121" i="1"/>
  <c r="I113" i="1"/>
  <c r="O113" i="1"/>
  <c r="O223" i="1" s="1"/>
  <c r="T113" i="1"/>
  <c r="X113" i="1"/>
  <c r="AB113" i="1"/>
  <c r="O225" i="1"/>
  <c r="Q9" i="3"/>
  <c r="Y19" i="3"/>
  <c r="AA19" i="3" s="1"/>
  <c r="AA21" i="3" s="1"/>
  <c r="Q21" i="3"/>
  <c r="U22" i="3"/>
  <c r="W22" i="3" s="1"/>
  <c r="Y22" i="3" s="1"/>
  <c r="S25" i="3"/>
  <c r="U25" i="3" s="1"/>
  <c r="T30" i="3"/>
  <c r="Z41" i="3"/>
  <c r="Z51" i="3" s="1"/>
  <c r="AD41" i="3"/>
  <c r="AD51" i="3" s="1"/>
  <c r="AH41" i="3"/>
  <c r="AH51" i="3" s="1"/>
  <c r="AL41" i="3"/>
  <c r="AL51" i="3" s="1"/>
  <c r="AP41" i="3"/>
  <c r="AP51" i="3" s="1"/>
  <c r="AX41" i="3"/>
  <c r="AX51" i="3" s="1"/>
  <c r="O39" i="3"/>
  <c r="P49" i="3"/>
  <c r="P52" i="3" s="1"/>
  <c r="P42" i="3"/>
  <c r="G40" i="3"/>
  <c r="G49" i="3" s="1"/>
  <c r="U7" i="3"/>
  <c r="W7" i="3" s="1"/>
  <c r="V27" i="3"/>
  <c r="F28" i="3"/>
  <c r="F40" i="3" s="1"/>
  <c r="F49" i="3" s="1"/>
  <c r="F52" i="3" s="1"/>
  <c r="T39" i="3"/>
  <c r="G39" i="3"/>
  <c r="AZ39" i="3"/>
  <c r="J6" i="1"/>
  <c r="L6" i="1"/>
  <c r="G66" i="2"/>
  <c r="AB660" i="2"/>
  <c r="AB659" i="2" s="1"/>
  <c r="Z660" i="2"/>
  <c r="Z659" i="2" s="1"/>
  <c r="J6" i="2"/>
  <c r="Y24" i="2"/>
  <c r="L25" i="2"/>
  <c r="J25" i="2"/>
  <c r="L155" i="2"/>
  <c r="M672" i="2"/>
  <c r="Q672" i="2"/>
  <c r="Z154" i="2"/>
  <c r="S658" i="2"/>
  <c r="O672" i="2"/>
  <c r="X672" i="2"/>
  <c r="G675" i="2"/>
  <c r="R205" i="2"/>
  <c r="Z205" i="2"/>
  <c r="AD205" i="2"/>
  <c r="K327" i="2"/>
  <c r="I327" i="2" s="1"/>
  <c r="J327" i="2" s="1"/>
  <c r="N205" i="2"/>
  <c r="E205" i="2"/>
  <c r="Q660" i="2"/>
  <c r="Q659" i="2" s="1"/>
  <c r="Q658" i="2" s="1"/>
  <c r="Y660" i="2"/>
  <c r="Y659" i="2" s="1"/>
  <c r="W660" i="2"/>
  <c r="K512" i="2"/>
  <c r="I512" i="2" s="1"/>
  <c r="G662" i="2"/>
  <c r="O660" i="2"/>
  <c r="O659" i="2" s="1"/>
  <c r="W598" i="2"/>
  <c r="AE598" i="2"/>
  <c r="K607" i="2"/>
  <c r="I607" i="2" s="1"/>
  <c r="H598" i="2"/>
  <c r="I62" i="2"/>
  <c r="P62" i="2"/>
  <c r="V154" i="2"/>
  <c r="AD154" i="2"/>
  <c r="O205" i="2"/>
  <c r="S205" i="2"/>
  <c r="Y205" i="2"/>
  <c r="AC205" i="2"/>
  <c r="U205" i="2"/>
  <c r="K326" i="2"/>
  <c r="I326" i="2" s="1"/>
  <c r="J326" i="2" s="1"/>
  <c r="W388" i="2"/>
  <c r="AE388" i="2"/>
  <c r="P488" i="2"/>
  <c r="P672" i="2"/>
  <c r="E62" i="2"/>
  <c r="T66" i="2"/>
  <c r="H205" i="2"/>
  <c r="M488" i="2"/>
  <c r="Q488" i="2"/>
  <c r="V488" i="2"/>
  <c r="Z488" i="2"/>
  <c r="K27" i="2"/>
  <c r="T40" i="2"/>
  <c r="T39" i="2" s="1"/>
  <c r="N62" i="2"/>
  <c r="R62" i="2"/>
  <c r="W62" i="2"/>
  <c r="AA62" i="2"/>
  <c r="AE62" i="2"/>
  <c r="O154" i="2"/>
  <c r="S154" i="2"/>
  <c r="X154" i="2"/>
  <c r="M205" i="2"/>
  <c r="Q205" i="2"/>
  <c r="AE205" i="2"/>
  <c r="T303" i="2"/>
  <c r="K312" i="2"/>
  <c r="I312" i="2" s="1"/>
  <c r="J312" i="2" s="1"/>
  <c r="G316" i="2"/>
  <c r="AA388" i="2"/>
  <c r="K500" i="2"/>
  <c r="I500" i="2" s="1"/>
  <c r="J500" i="2" s="1"/>
  <c r="H488" i="2"/>
  <c r="R672" i="2"/>
  <c r="W672" i="2"/>
  <c r="AA672" i="2"/>
  <c r="AE672" i="2"/>
  <c r="N5" i="2"/>
  <c r="R5" i="2"/>
  <c r="V5" i="2"/>
  <c r="Z5" i="2"/>
  <c r="AD5" i="2"/>
  <c r="G8" i="2"/>
  <c r="L10" i="2"/>
  <c r="V24" i="2"/>
  <c r="Z24" i="2"/>
  <c r="AD24" i="2"/>
  <c r="K26" i="2"/>
  <c r="G31" i="2"/>
  <c r="L31" i="2"/>
  <c r="L197" i="2"/>
  <c r="T10" i="2"/>
  <c r="T18" i="2"/>
  <c r="T17" i="2" s="1"/>
  <c r="J5" i="2"/>
  <c r="L5" i="2"/>
  <c r="G10" i="2"/>
  <c r="K28" i="2"/>
  <c r="H662" i="2"/>
  <c r="H660" i="2" s="1"/>
  <c r="H659" i="2" s="1"/>
  <c r="L40" i="2"/>
  <c r="L39" i="2" s="1"/>
  <c r="K42" i="2"/>
  <c r="I42" i="2" s="1"/>
  <c r="J42" i="2" s="1"/>
  <c r="M45" i="2"/>
  <c r="Q45" i="2"/>
  <c r="K64" i="2"/>
  <c r="T63" i="2"/>
  <c r="T62" i="2" s="1"/>
  <c r="K129" i="2"/>
  <c r="I129" i="2" s="1"/>
  <c r="J129" i="2" s="1"/>
  <c r="H5" i="2"/>
  <c r="G40" i="2"/>
  <c r="K44" i="2"/>
  <c r="I44" i="2" s="1"/>
  <c r="J44" i="2" s="1"/>
  <c r="T48" i="2"/>
  <c r="T45" i="2" s="1"/>
  <c r="K52" i="2"/>
  <c r="G63" i="2"/>
  <c r="X62" i="2"/>
  <c r="AB62" i="2"/>
  <c r="J66" i="2"/>
  <c r="E69" i="2"/>
  <c r="G69" i="2" s="1"/>
  <c r="U69" i="2"/>
  <c r="Y69" i="2"/>
  <c r="AC69" i="2"/>
  <c r="K74" i="2"/>
  <c r="I74" i="2" s="1"/>
  <c r="J74" i="2" s="1"/>
  <c r="K81" i="2"/>
  <c r="K89" i="2"/>
  <c r="I89" i="2" s="1"/>
  <c r="J89" i="2" s="1"/>
  <c r="P661" i="2"/>
  <c r="P660" i="2" s="1"/>
  <c r="T112" i="2"/>
  <c r="G118" i="2"/>
  <c r="K121" i="2"/>
  <c r="I121" i="2" s="1"/>
  <c r="J121" i="2" s="1"/>
  <c r="K125" i="2"/>
  <c r="I125" i="2" s="1"/>
  <c r="J125" i="2" s="1"/>
  <c r="K131" i="2"/>
  <c r="I131" i="2" s="1"/>
  <c r="J131" i="2" s="1"/>
  <c r="K135" i="2"/>
  <c r="I135" i="2" s="1"/>
  <c r="J135" i="2" s="1"/>
  <c r="G141" i="2"/>
  <c r="M140" i="2"/>
  <c r="Q140" i="2"/>
  <c r="K144" i="2"/>
  <c r="G145" i="2"/>
  <c r="K148" i="2"/>
  <c r="K150" i="2"/>
  <c r="J155" i="2"/>
  <c r="U154" i="2"/>
  <c r="Y154" i="2"/>
  <c r="AC154" i="2"/>
  <c r="G158" i="2"/>
  <c r="K162" i="2"/>
  <c r="I162" i="2" s="1"/>
  <c r="J162" i="2" s="1"/>
  <c r="K166" i="2"/>
  <c r="I166" i="2" s="1"/>
  <c r="J166" i="2" s="1"/>
  <c r="K170" i="2"/>
  <c r="I170" i="2" s="1"/>
  <c r="J170" i="2" s="1"/>
  <c r="G175" i="2"/>
  <c r="K179" i="2"/>
  <c r="I179" i="2" s="1"/>
  <c r="J179" i="2" s="1"/>
  <c r="G181" i="2"/>
  <c r="K184" i="2"/>
  <c r="I184" i="2" s="1"/>
  <c r="J184" i="2" s="1"/>
  <c r="G187" i="2"/>
  <c r="F197" i="2"/>
  <c r="G197" i="2" s="1"/>
  <c r="M197" i="2"/>
  <c r="Q197" i="2"/>
  <c r="G203" i="2"/>
  <c r="K204" i="2"/>
  <c r="K203" i="2" s="1"/>
  <c r="K220" i="2"/>
  <c r="I220" i="2" s="1"/>
  <c r="J220" i="2" s="1"/>
  <c r="I386" i="2"/>
  <c r="J386" i="2" s="1"/>
  <c r="G25" i="2"/>
  <c r="P24" i="2"/>
  <c r="K30" i="2"/>
  <c r="K29" i="2" s="1"/>
  <c r="K35" i="2"/>
  <c r="L36" i="2"/>
  <c r="K36" i="2" s="1"/>
  <c r="K43" i="2"/>
  <c r="I43" i="2" s="1"/>
  <c r="J43" i="2" s="1"/>
  <c r="O45" i="2"/>
  <c r="S45" i="2"/>
  <c r="W45" i="2"/>
  <c r="AA45" i="2"/>
  <c r="AE45" i="2"/>
  <c r="J48" i="2"/>
  <c r="K56" i="2"/>
  <c r="K59" i="2"/>
  <c r="K61" i="2"/>
  <c r="H62" i="2"/>
  <c r="L66" i="2"/>
  <c r="L62" i="2" s="1"/>
  <c r="M69" i="2"/>
  <c r="Q69" i="2"/>
  <c r="K72" i="2"/>
  <c r="G78" i="2"/>
  <c r="K80" i="2"/>
  <c r="K82" i="2"/>
  <c r="K84" i="2"/>
  <c r="P85" i="2"/>
  <c r="P69" i="2" s="1"/>
  <c r="K93" i="2"/>
  <c r="I93" i="2" s="1"/>
  <c r="J93" i="2" s="1"/>
  <c r="K97" i="2"/>
  <c r="I97" i="2" s="1"/>
  <c r="J97" i="2" s="1"/>
  <c r="K101" i="2"/>
  <c r="I101" i="2" s="1"/>
  <c r="J101" i="2" s="1"/>
  <c r="L104" i="2"/>
  <c r="K104" i="2" s="1"/>
  <c r="I104" i="2" s="1"/>
  <c r="J104" i="2" s="1"/>
  <c r="K120" i="2"/>
  <c r="I120" i="2" s="1"/>
  <c r="J120" i="2" s="1"/>
  <c r="K124" i="2"/>
  <c r="I124" i="2" s="1"/>
  <c r="J124" i="2" s="1"/>
  <c r="K130" i="2"/>
  <c r="I130" i="2" s="1"/>
  <c r="J130" i="2" s="1"/>
  <c r="K134" i="2"/>
  <c r="I134" i="2" s="1"/>
  <c r="J134" i="2" s="1"/>
  <c r="T141" i="2"/>
  <c r="T140" i="2" s="1"/>
  <c r="T145" i="2"/>
  <c r="K152" i="2"/>
  <c r="G155" i="2"/>
  <c r="M154" i="2"/>
  <c r="Q154" i="2"/>
  <c r="K161" i="2"/>
  <c r="I161" i="2" s="1"/>
  <c r="J161" i="2" s="1"/>
  <c r="K165" i="2"/>
  <c r="I165" i="2" s="1"/>
  <c r="J165" i="2" s="1"/>
  <c r="K178" i="2"/>
  <c r="I178" i="2" s="1"/>
  <c r="J178" i="2" s="1"/>
  <c r="K183" i="2"/>
  <c r="I183" i="2" s="1"/>
  <c r="J183" i="2" s="1"/>
  <c r="K189" i="2"/>
  <c r="I189" i="2" s="1"/>
  <c r="J189" i="2" s="1"/>
  <c r="G198" i="2"/>
  <c r="T197" i="2"/>
  <c r="K219" i="2"/>
  <c r="I219" i="2" s="1"/>
  <c r="J219" i="2" s="1"/>
  <c r="K223" i="2"/>
  <c r="I223" i="2" s="1"/>
  <c r="J223" i="2" s="1"/>
  <c r="K227" i="2"/>
  <c r="I227" i="2" s="1"/>
  <c r="J227" i="2" s="1"/>
  <c r="K232" i="2"/>
  <c r="I232" i="2" s="1"/>
  <c r="J232" i="2" s="1"/>
  <c r="K241" i="2"/>
  <c r="I241" i="2" s="1"/>
  <c r="J241" i="2" s="1"/>
  <c r="K253" i="2"/>
  <c r="I253" i="2" s="1"/>
  <c r="J253" i="2" s="1"/>
  <c r="K259" i="2"/>
  <c r="I259" i="2" s="1"/>
  <c r="J259" i="2" s="1"/>
  <c r="L48" i="2"/>
  <c r="L45" i="2" s="1"/>
  <c r="K65" i="2"/>
  <c r="T70" i="2"/>
  <c r="T85" i="2"/>
  <c r="K92" i="2"/>
  <c r="I92" i="2" s="1"/>
  <c r="J92" i="2" s="1"/>
  <c r="K96" i="2"/>
  <c r="I96" i="2" s="1"/>
  <c r="J96" i="2" s="1"/>
  <c r="K100" i="2"/>
  <c r="I100" i="2" s="1"/>
  <c r="J100" i="2" s="1"/>
  <c r="K103" i="2"/>
  <c r="I103" i="2" s="1"/>
  <c r="J103" i="2" s="1"/>
  <c r="K111" i="2"/>
  <c r="L118" i="2"/>
  <c r="K119" i="2"/>
  <c r="K123" i="2"/>
  <c r="I123" i="2" s="1"/>
  <c r="J123" i="2" s="1"/>
  <c r="K127" i="2"/>
  <c r="I127" i="2" s="1"/>
  <c r="J127" i="2" s="1"/>
  <c r="K133" i="2"/>
  <c r="I133" i="2" s="1"/>
  <c r="J133" i="2" s="1"/>
  <c r="G136" i="2"/>
  <c r="J145" i="2"/>
  <c r="L158" i="2"/>
  <c r="K160" i="2"/>
  <c r="I160" i="2" s="1"/>
  <c r="J160" i="2" s="1"/>
  <c r="K164" i="2"/>
  <c r="I164" i="2" s="1"/>
  <c r="J164" i="2" s="1"/>
  <c r="L175" i="2"/>
  <c r="K177" i="2"/>
  <c r="I177" i="2" s="1"/>
  <c r="J177" i="2" s="1"/>
  <c r="K182" i="2"/>
  <c r="K186" i="2"/>
  <c r="I186" i="2" s="1"/>
  <c r="J186" i="2" s="1"/>
  <c r="O197" i="2"/>
  <c r="S197" i="2"/>
  <c r="K201" i="2"/>
  <c r="K202" i="2"/>
  <c r="I202" i="2" s="1"/>
  <c r="J202" i="2" s="1"/>
  <c r="X662" i="2"/>
  <c r="X660" i="2" s="1"/>
  <c r="X659" i="2" s="1"/>
  <c r="X658" i="2" s="1"/>
  <c r="X228" i="2"/>
  <c r="X205" i="2" s="1"/>
  <c r="T265" i="2"/>
  <c r="K287" i="2"/>
  <c r="I287" i="2" s="1"/>
  <c r="L286" i="2"/>
  <c r="T118" i="2"/>
  <c r="K235" i="2"/>
  <c r="I235" i="2" s="1"/>
  <c r="J235" i="2" s="1"/>
  <c r="K258" i="2"/>
  <c r="I258" i="2" s="1"/>
  <c r="J258" i="2" s="1"/>
  <c r="K267" i="2"/>
  <c r="I267" i="2" s="1"/>
  <c r="J267" i="2" s="1"/>
  <c r="L265" i="2"/>
  <c r="I444" i="2"/>
  <c r="K443" i="2"/>
  <c r="K231" i="2"/>
  <c r="I231" i="2" s="1"/>
  <c r="J231" i="2" s="1"/>
  <c r="K249" i="2"/>
  <c r="I249" i="2" s="1"/>
  <c r="J249" i="2" s="1"/>
  <c r="K256" i="2"/>
  <c r="I256" i="2" s="1"/>
  <c r="J256" i="2" s="1"/>
  <c r="K264" i="2"/>
  <c r="I264" i="2" s="1"/>
  <c r="J264" i="2" s="1"/>
  <c r="K281" i="2"/>
  <c r="I281" i="2" s="1"/>
  <c r="J281" i="2" s="1"/>
  <c r="T286" i="2"/>
  <c r="V289" i="2"/>
  <c r="K299" i="2"/>
  <c r="I299" i="2" s="1"/>
  <c r="J299" i="2" s="1"/>
  <c r="K307" i="2"/>
  <c r="I307" i="2" s="1"/>
  <c r="J307" i="2" s="1"/>
  <c r="K311" i="2"/>
  <c r="I311" i="2" s="1"/>
  <c r="J311" i="2" s="1"/>
  <c r="K315" i="2"/>
  <c r="I315" i="2" s="1"/>
  <c r="J315" i="2" s="1"/>
  <c r="K348" i="2"/>
  <c r="I348" i="2" s="1"/>
  <c r="J348" i="2" s="1"/>
  <c r="K355" i="2"/>
  <c r="I355" i="2" s="1"/>
  <c r="J355" i="2" s="1"/>
  <c r="K360" i="2"/>
  <c r="I360" i="2" s="1"/>
  <c r="J360" i="2" s="1"/>
  <c r="V363" i="2"/>
  <c r="Z363" i="2"/>
  <c r="AD363" i="2"/>
  <c r="T366" i="2"/>
  <c r="U363" i="2"/>
  <c r="Y363" i="2"/>
  <c r="AC363" i="2"/>
  <c r="K372" i="2"/>
  <c r="I372" i="2" s="1"/>
  <c r="J372" i="2" s="1"/>
  <c r="T383" i="2"/>
  <c r="U388" i="2"/>
  <c r="Y388" i="2"/>
  <c r="Y657" i="2" s="1"/>
  <c r="AC388" i="2"/>
  <c r="K390" i="2"/>
  <c r="K393" i="2"/>
  <c r="K395" i="2"/>
  <c r="I395" i="2" s="1"/>
  <c r="J395" i="2" s="1"/>
  <c r="K399" i="2"/>
  <c r="I399" i="2" s="1"/>
  <c r="J399" i="2" s="1"/>
  <c r="K400" i="2"/>
  <c r="I400" i="2" s="1"/>
  <c r="J400" i="2" s="1"/>
  <c r="G405" i="2"/>
  <c r="K407" i="2"/>
  <c r="I407" i="2" s="1"/>
  <c r="J407" i="2" s="1"/>
  <c r="K412" i="2"/>
  <c r="K417" i="2"/>
  <c r="K418" i="2"/>
  <c r="I418" i="2" s="1"/>
  <c r="J418" i="2" s="1"/>
  <c r="K422" i="2"/>
  <c r="I422" i="2" s="1"/>
  <c r="J422" i="2" s="1"/>
  <c r="K430" i="2"/>
  <c r="I430" i="2" s="1"/>
  <c r="J430" i="2" s="1"/>
  <c r="G438" i="2"/>
  <c r="K440" i="2"/>
  <c r="I440" i="2" s="1"/>
  <c r="J440" i="2" s="1"/>
  <c r="L447" i="2"/>
  <c r="K448" i="2"/>
  <c r="T451" i="2"/>
  <c r="T450" i="2" s="1"/>
  <c r="K473" i="2"/>
  <c r="I473" i="2" s="1"/>
  <c r="L472" i="2"/>
  <c r="L471" i="2" s="1"/>
  <c r="T505" i="2"/>
  <c r="R488" i="2"/>
  <c r="T544" i="2"/>
  <c r="K224" i="2"/>
  <c r="I224" i="2" s="1"/>
  <c r="J224" i="2" s="1"/>
  <c r="K248" i="2"/>
  <c r="I248" i="2" s="1"/>
  <c r="J248" i="2" s="1"/>
  <c r="V265" i="2"/>
  <c r="V205" i="2" s="1"/>
  <c r="K269" i="2"/>
  <c r="I269" i="2" s="1"/>
  <c r="J269" i="2" s="1"/>
  <c r="K273" i="2"/>
  <c r="I273" i="2" s="1"/>
  <c r="J273" i="2" s="1"/>
  <c r="K277" i="2"/>
  <c r="I277" i="2" s="1"/>
  <c r="J277" i="2" s="1"/>
  <c r="K279" i="2"/>
  <c r="I279" i="2" s="1"/>
  <c r="J279" i="2" s="1"/>
  <c r="G284" i="2"/>
  <c r="G289" i="2"/>
  <c r="K292" i="2"/>
  <c r="I292" i="2" s="1"/>
  <c r="J292" i="2" s="1"/>
  <c r="K296" i="2"/>
  <c r="I296" i="2" s="1"/>
  <c r="J296" i="2" s="1"/>
  <c r="K297" i="2"/>
  <c r="I297" i="2" s="1"/>
  <c r="J297" i="2" s="1"/>
  <c r="G303" i="2"/>
  <c r="K306" i="2"/>
  <c r="I306" i="2" s="1"/>
  <c r="J306" i="2" s="1"/>
  <c r="K310" i="2"/>
  <c r="I310" i="2" s="1"/>
  <c r="J310" i="2" s="1"/>
  <c r="K314" i="2"/>
  <c r="I314" i="2" s="1"/>
  <c r="J314" i="2" s="1"/>
  <c r="K317" i="2"/>
  <c r="T316" i="2"/>
  <c r="K321" i="2"/>
  <c r="I321" i="2" s="1"/>
  <c r="J321" i="2" s="1"/>
  <c r="K343" i="2"/>
  <c r="I343" i="2" s="1"/>
  <c r="J343" i="2" s="1"/>
  <c r="T338" i="2"/>
  <c r="P668" i="2"/>
  <c r="P666" i="2" s="1"/>
  <c r="K347" i="2"/>
  <c r="I347" i="2" s="1"/>
  <c r="J347" i="2" s="1"/>
  <c r="K352" i="2"/>
  <c r="I352" i="2" s="1"/>
  <c r="J352" i="2" s="1"/>
  <c r="K359" i="2"/>
  <c r="I359" i="2" s="1"/>
  <c r="J359" i="2" s="1"/>
  <c r="H363" i="2"/>
  <c r="P363" i="2"/>
  <c r="X363" i="2"/>
  <c r="AB363" i="2"/>
  <c r="N363" i="2"/>
  <c r="M363" i="2"/>
  <c r="Q363" i="2"/>
  <c r="K371" i="2"/>
  <c r="I371" i="2" s="1"/>
  <c r="K376" i="2"/>
  <c r="I376" i="2" s="1"/>
  <c r="J376" i="2" s="1"/>
  <c r="E388" i="2"/>
  <c r="M388" i="2"/>
  <c r="Q388" i="2"/>
  <c r="V388" i="2"/>
  <c r="Z388" i="2"/>
  <c r="AD388" i="2"/>
  <c r="K410" i="2"/>
  <c r="K415" i="2"/>
  <c r="K420" i="2"/>
  <c r="K428" i="2"/>
  <c r="I428" i="2" s="1"/>
  <c r="J428" i="2" s="1"/>
  <c r="K436" i="2"/>
  <c r="I436" i="2" s="1"/>
  <c r="J436" i="2" s="1"/>
  <c r="K439" i="2"/>
  <c r="L443" i="2"/>
  <c r="G447" i="2"/>
  <c r="G484" i="2"/>
  <c r="F471" i="2"/>
  <c r="G471" i="2" s="1"/>
  <c r="N471" i="2"/>
  <c r="K487" i="2"/>
  <c r="I487" i="2" s="1"/>
  <c r="O488" i="2"/>
  <c r="S488" i="2"/>
  <c r="X488" i="2"/>
  <c r="AB488" i="2"/>
  <c r="L489" i="2"/>
  <c r="L488" i="2" s="1"/>
  <c r="K291" i="2"/>
  <c r="I291" i="2" s="1"/>
  <c r="J291" i="2" s="1"/>
  <c r="K295" i="2"/>
  <c r="I295" i="2" s="1"/>
  <c r="J295" i="2" s="1"/>
  <c r="T289" i="2"/>
  <c r="K305" i="2"/>
  <c r="I305" i="2" s="1"/>
  <c r="J305" i="2" s="1"/>
  <c r="K309" i="2"/>
  <c r="I309" i="2" s="1"/>
  <c r="J309" i="2" s="1"/>
  <c r="K313" i="2"/>
  <c r="I313" i="2" s="1"/>
  <c r="J313" i="2" s="1"/>
  <c r="L334" i="2"/>
  <c r="K342" i="2"/>
  <c r="I342" i="2" s="1"/>
  <c r="J342" i="2" s="1"/>
  <c r="K351" i="2"/>
  <c r="I351" i="2" s="1"/>
  <c r="J351" i="2" s="1"/>
  <c r="K365" i="2"/>
  <c r="E363" i="2"/>
  <c r="R363" i="2"/>
  <c r="K375" i="2"/>
  <c r="I375" i="2" s="1"/>
  <c r="J375" i="2" s="1"/>
  <c r="K387" i="2"/>
  <c r="I387" i="2" s="1"/>
  <c r="J387" i="2" s="1"/>
  <c r="N388" i="2"/>
  <c r="R388" i="2"/>
  <c r="L391" i="2"/>
  <c r="K397" i="2"/>
  <c r="I397" i="2" s="1"/>
  <c r="J397" i="2" s="1"/>
  <c r="T408" i="2"/>
  <c r="T413" i="2"/>
  <c r="K426" i="2"/>
  <c r="I426" i="2" s="1"/>
  <c r="J426" i="2" s="1"/>
  <c r="K434" i="2"/>
  <c r="I434" i="2" s="1"/>
  <c r="J434" i="2" s="1"/>
  <c r="T438" i="2"/>
  <c r="K442" i="2"/>
  <c r="I442" i="2" s="1"/>
  <c r="J442" i="2" s="1"/>
  <c r="T537" i="2"/>
  <c r="K538" i="2"/>
  <c r="K537" i="2" s="1"/>
  <c r="I626" i="2"/>
  <c r="K625" i="2"/>
  <c r="X471" i="2"/>
  <c r="AB471" i="2"/>
  <c r="T562" i="2"/>
  <c r="K563" i="2"/>
  <c r="K446" i="2"/>
  <c r="G450" i="2"/>
  <c r="K457" i="2"/>
  <c r="I457" i="2" s="1"/>
  <c r="J457" i="2" s="1"/>
  <c r="K465" i="2"/>
  <c r="I465" i="2" s="1"/>
  <c r="J465" i="2" s="1"/>
  <c r="W471" i="2"/>
  <c r="AE471" i="2"/>
  <c r="K480" i="2"/>
  <c r="I480" i="2" s="1"/>
  <c r="J480" i="2" s="1"/>
  <c r="K485" i="2"/>
  <c r="E488" i="2"/>
  <c r="W488" i="2"/>
  <c r="AA488" i="2"/>
  <c r="AE488" i="2"/>
  <c r="K495" i="2"/>
  <c r="I495" i="2" s="1"/>
  <c r="J495" i="2" s="1"/>
  <c r="K503" i="2"/>
  <c r="I503" i="2" s="1"/>
  <c r="J503" i="2" s="1"/>
  <c r="L505" i="2"/>
  <c r="K507" i="2"/>
  <c r="I507" i="2" s="1"/>
  <c r="J507" i="2" s="1"/>
  <c r="K511" i="2"/>
  <c r="I511" i="2" s="1"/>
  <c r="J511" i="2" s="1"/>
  <c r="K518" i="2"/>
  <c r="I518" i="2" s="1"/>
  <c r="J518" i="2" s="1"/>
  <c r="K522" i="2"/>
  <c r="G525" i="2"/>
  <c r="T525" i="2"/>
  <c r="K533" i="2"/>
  <c r="I533" i="2" s="1"/>
  <c r="J533" i="2" s="1"/>
  <c r="K536" i="2"/>
  <c r="I536" i="2" s="1"/>
  <c r="J536" i="2" s="1"/>
  <c r="K540" i="2"/>
  <c r="G550" i="2"/>
  <c r="K559" i="2"/>
  <c r="I559" i="2" s="1"/>
  <c r="J559" i="2" s="1"/>
  <c r="G562" i="2"/>
  <c r="U543" i="2"/>
  <c r="Y543" i="2"/>
  <c r="AC543" i="2"/>
  <c r="K565" i="2"/>
  <c r="K570" i="2"/>
  <c r="K578" i="2"/>
  <c r="L583" i="2"/>
  <c r="L585" i="2"/>
  <c r="M598" i="2"/>
  <c r="Q598" i="2"/>
  <c r="K601" i="2"/>
  <c r="I601" i="2" s="1"/>
  <c r="J601" i="2" s="1"/>
  <c r="K603" i="2"/>
  <c r="I603" i="2" s="1"/>
  <c r="J603" i="2" s="1"/>
  <c r="N598" i="2"/>
  <c r="T625" i="2"/>
  <c r="F635" i="2"/>
  <c r="K650" i="2"/>
  <c r="H666" i="2"/>
  <c r="K546" i="2"/>
  <c r="I546" i="2" s="1"/>
  <c r="J546" i="2" s="1"/>
  <c r="L550" i="2"/>
  <c r="K568" i="2"/>
  <c r="I568" i="2" s="1"/>
  <c r="J568" i="2" s="1"/>
  <c r="AA598" i="2"/>
  <c r="V598" i="2"/>
  <c r="AD598" i="2"/>
  <c r="K613" i="2"/>
  <c r="I613" i="2" s="1"/>
  <c r="J613" i="2" s="1"/>
  <c r="T649" i="2"/>
  <c r="E660" i="2"/>
  <c r="G663" i="2"/>
  <c r="G664" i="2"/>
  <c r="F666" i="2"/>
  <c r="E666" i="2"/>
  <c r="W666" i="2"/>
  <c r="AA666" i="2"/>
  <c r="AA659" i="2" s="1"/>
  <c r="AE666" i="2"/>
  <c r="AE659" i="2" s="1"/>
  <c r="G671" i="2"/>
  <c r="V672" i="2"/>
  <c r="Z672" i="2"/>
  <c r="Z658" i="2" s="1"/>
  <c r="AD672" i="2"/>
  <c r="U672" i="2"/>
  <c r="Y672" i="2"/>
  <c r="AC672" i="2"/>
  <c r="K453" i="2"/>
  <c r="K461" i="2"/>
  <c r="I461" i="2" s="1"/>
  <c r="J461" i="2" s="1"/>
  <c r="K469" i="2"/>
  <c r="I469" i="2" s="1"/>
  <c r="J469" i="2" s="1"/>
  <c r="U471" i="2"/>
  <c r="Y471" i="2"/>
  <c r="AC471" i="2"/>
  <c r="K476" i="2"/>
  <c r="I476" i="2" s="1"/>
  <c r="J476" i="2" s="1"/>
  <c r="G486" i="2"/>
  <c r="U488" i="2"/>
  <c r="Y488" i="2"/>
  <c r="AC488" i="2"/>
  <c r="K491" i="2"/>
  <c r="I491" i="2" s="1"/>
  <c r="J491" i="2" s="1"/>
  <c r="K499" i="2"/>
  <c r="I499" i="2" s="1"/>
  <c r="J499" i="2" s="1"/>
  <c r="G505" i="2"/>
  <c r="N488" i="2"/>
  <c r="K509" i="2"/>
  <c r="I509" i="2" s="1"/>
  <c r="J509" i="2" s="1"/>
  <c r="K514" i="2"/>
  <c r="I514" i="2" s="1"/>
  <c r="J514" i="2" s="1"/>
  <c r="K524" i="2"/>
  <c r="I524" i="2" s="1"/>
  <c r="J524" i="2" s="1"/>
  <c r="L525" i="2"/>
  <c r="K529" i="2"/>
  <c r="I529" i="2" s="1"/>
  <c r="J529" i="2" s="1"/>
  <c r="K534" i="2"/>
  <c r="I534" i="2" s="1"/>
  <c r="J534" i="2" s="1"/>
  <c r="G537" i="2"/>
  <c r="K541" i="2"/>
  <c r="K549" i="2"/>
  <c r="I549" i="2" s="1"/>
  <c r="J549" i="2" s="1"/>
  <c r="K555" i="2"/>
  <c r="I555" i="2" s="1"/>
  <c r="J555" i="2" s="1"/>
  <c r="K561" i="2"/>
  <c r="I561" i="2" s="1"/>
  <c r="J561" i="2" s="1"/>
  <c r="K567" i="2"/>
  <c r="I567" i="2" s="1"/>
  <c r="J567" i="2" s="1"/>
  <c r="G571" i="2"/>
  <c r="G579" i="2"/>
  <c r="G583" i="2"/>
  <c r="K596" i="2"/>
  <c r="I596" i="2" s="1"/>
  <c r="J596" i="2" s="1"/>
  <c r="S598" i="2"/>
  <c r="P619" i="2"/>
  <c r="P598" i="2" s="1"/>
  <c r="K629" i="2"/>
  <c r="L631" i="2"/>
  <c r="K634" i="2"/>
  <c r="I634" i="2" s="1"/>
  <c r="J634" i="2" s="1"/>
  <c r="V635" i="2"/>
  <c r="Z635" i="2"/>
  <c r="AD635" i="2"/>
  <c r="K637" i="2"/>
  <c r="I637" i="2" s="1"/>
  <c r="J637" i="2" s="1"/>
  <c r="K639" i="2"/>
  <c r="I639" i="2" s="1"/>
  <c r="W635" i="2"/>
  <c r="G661" i="2"/>
  <c r="G679" i="2"/>
  <c r="N635" i="2"/>
  <c r="T636" i="2"/>
  <c r="T635" i="2" s="1"/>
  <c r="W659" i="2"/>
  <c r="W658" i="2" s="1"/>
  <c r="G669" i="2"/>
  <c r="G670" i="2"/>
  <c r="G674" i="2"/>
  <c r="AB672" i="2"/>
  <c r="AB658" i="2" s="1"/>
  <c r="W225" i="1"/>
  <c r="AA225" i="1"/>
  <c r="Q225" i="1"/>
  <c r="G6" i="1"/>
  <c r="K6" i="1"/>
  <c r="G61" i="1"/>
  <c r="G85" i="1"/>
  <c r="K117" i="1"/>
  <c r="U145" i="1"/>
  <c r="Y145" i="1"/>
  <c r="AC145" i="1"/>
  <c r="G233" i="1"/>
  <c r="T225" i="1"/>
  <c r="X225" i="1"/>
  <c r="E235" i="1"/>
  <c r="U113" i="1"/>
  <c r="U223" i="1" s="1"/>
  <c r="Y113" i="1"/>
  <c r="Y223" i="1" s="1"/>
  <c r="AC113" i="1"/>
  <c r="Q113" i="1"/>
  <c r="Q223" i="1" s="1"/>
  <c r="P145" i="1"/>
  <c r="F225" i="1"/>
  <c r="G5" i="1"/>
  <c r="N225" i="1"/>
  <c r="G234" i="1"/>
  <c r="E225" i="1"/>
  <c r="AA22" i="3"/>
  <c r="Y24" i="3"/>
  <c r="O47" i="3"/>
  <c r="O41" i="3"/>
  <c r="U21" i="3"/>
  <c r="Y21" i="3"/>
  <c r="W24" i="3"/>
  <c r="S27" i="3"/>
  <c r="V30" i="3"/>
  <c r="AN30" i="3"/>
  <c r="M28" i="3"/>
  <c r="M6" i="3"/>
  <c r="S13" i="3"/>
  <c r="Q15" i="3"/>
  <c r="F42" i="3"/>
  <c r="K42" i="3"/>
  <c r="K49" i="3"/>
  <c r="K52" i="3" s="1"/>
  <c r="O6" i="3"/>
  <c r="AC19" i="3"/>
  <c r="AE19" i="3" s="1"/>
  <c r="Q24" i="3"/>
  <c r="U24" i="3"/>
  <c r="N49" i="3"/>
  <c r="N52" i="3" s="1"/>
  <c r="N42" i="3"/>
  <c r="S4" i="3"/>
  <c r="O40" i="3"/>
  <c r="O30" i="3"/>
  <c r="D42" i="3"/>
  <c r="D49" i="3"/>
  <c r="D52" i="3" s="1"/>
  <c r="H28" i="3"/>
  <c r="H40" i="3" s="1"/>
  <c r="Q28" i="3"/>
  <c r="Q30" i="3" s="1"/>
  <c r="S39" i="3"/>
  <c r="O24" i="3"/>
  <c r="AB42" i="3"/>
  <c r="AF42" i="3"/>
  <c r="AR30" i="3"/>
  <c r="AV30" i="3"/>
  <c r="AV40" i="3"/>
  <c r="AZ30" i="3"/>
  <c r="M41" i="3"/>
  <c r="M51" i="3" s="1"/>
  <c r="M31" i="3"/>
  <c r="AB30" i="3"/>
  <c r="AF30" i="3"/>
  <c r="U31" i="3"/>
  <c r="S36" i="3"/>
  <c r="V40" i="3"/>
  <c r="Z40" i="3"/>
  <c r="AH40" i="3"/>
  <c r="AL40" i="3"/>
  <c r="AR39" i="3"/>
  <c r="AR40" i="3"/>
  <c r="AZ42" i="3"/>
  <c r="AZ52" i="3" s="1"/>
  <c r="G41" i="3"/>
  <c r="G51" i="3" s="1"/>
  <c r="E42" i="3"/>
  <c r="AB49" i="3"/>
  <c r="AB52" i="3" s="1"/>
  <c r="AZ49" i="3"/>
  <c r="L41" i="3"/>
  <c r="R42" i="3"/>
  <c r="AL30" i="3"/>
  <c r="AP40" i="3"/>
  <c r="AP30" i="3"/>
  <c r="AT40" i="3"/>
  <c r="AT30" i="3"/>
  <c r="AX30" i="3"/>
  <c r="R30" i="3"/>
  <c r="Q36" i="3"/>
  <c r="Q37" i="3" s="1"/>
  <c r="M37" i="3"/>
  <c r="AD40" i="3"/>
  <c r="AD39" i="3"/>
  <c r="AX42" i="3"/>
  <c r="J42" i="3"/>
  <c r="Q44" i="3"/>
  <c r="Q50" i="3" s="1"/>
  <c r="AF49" i="3"/>
  <c r="AF52" i="3" s="1"/>
  <c r="G52" i="3"/>
  <c r="R52" i="3"/>
  <c r="AX52" i="3"/>
  <c r="V39" i="3"/>
  <c r="Z39" i="3"/>
  <c r="AH39" i="3"/>
  <c r="AL39" i="3"/>
  <c r="T40" i="3"/>
  <c r="X40" i="3"/>
  <c r="AJ40" i="3"/>
  <c r="AN40" i="3"/>
  <c r="K33" i="2"/>
  <c r="T5" i="2"/>
  <c r="K18" i="2"/>
  <c r="K17" i="2" s="1"/>
  <c r="I72" i="2"/>
  <c r="J72" i="2" s="1"/>
  <c r="K70" i="2"/>
  <c r="K109" i="2"/>
  <c r="J229" i="2"/>
  <c r="J38" i="2"/>
  <c r="I33" i="2"/>
  <c r="K118" i="2"/>
  <c r="I119" i="2"/>
  <c r="I182" i="2"/>
  <c r="K181" i="2"/>
  <c r="G17" i="2"/>
  <c r="I41" i="2"/>
  <c r="K40" i="2"/>
  <c r="K39" i="2" s="1"/>
  <c r="K63" i="2"/>
  <c r="K145" i="2"/>
  <c r="K158" i="2"/>
  <c r="I159" i="2"/>
  <c r="K175" i="2"/>
  <c r="I176" i="2"/>
  <c r="J199" i="2"/>
  <c r="I198" i="2"/>
  <c r="J71" i="2"/>
  <c r="J86" i="2"/>
  <c r="J207" i="2"/>
  <c r="G18" i="2"/>
  <c r="T25" i="2"/>
  <c r="T24" i="2" s="1"/>
  <c r="K14" i="2"/>
  <c r="K10" i="2" s="1"/>
  <c r="K5" i="2" s="1"/>
  <c r="L18" i="2"/>
  <c r="L17" i="2" s="1"/>
  <c r="H33" i="2"/>
  <c r="H24" i="2" s="1"/>
  <c r="L33" i="2"/>
  <c r="L24" i="2" s="1"/>
  <c r="F39" i="2"/>
  <c r="G39" i="2" s="1"/>
  <c r="E45" i="2"/>
  <c r="G45" i="2" s="1"/>
  <c r="I45" i="2"/>
  <c r="K47" i="2"/>
  <c r="K46" i="2" s="1"/>
  <c r="K49" i="2"/>
  <c r="K48" i="2" s="1"/>
  <c r="F62" i="2"/>
  <c r="G62" i="2" s="1"/>
  <c r="K67" i="2"/>
  <c r="K66" i="2" s="1"/>
  <c r="K87" i="2"/>
  <c r="L88" i="2"/>
  <c r="K88" i="2" s="1"/>
  <c r="I88" i="2" s="1"/>
  <c r="J88" i="2" s="1"/>
  <c r="E140" i="2"/>
  <c r="G140" i="2" s="1"/>
  <c r="I140" i="2"/>
  <c r="K142" i="2"/>
  <c r="L145" i="2"/>
  <c r="L140" i="2" s="1"/>
  <c r="E154" i="2"/>
  <c r="G154" i="2" s="1"/>
  <c r="K156" i="2"/>
  <c r="K190" i="2"/>
  <c r="I190" i="2" s="1"/>
  <c r="J190" i="2" s="1"/>
  <c r="L194" i="2"/>
  <c r="L193" i="2" s="1"/>
  <c r="T194" i="2"/>
  <c r="T193" i="2" s="1"/>
  <c r="K196" i="2"/>
  <c r="W197" i="2"/>
  <c r="AA197" i="2"/>
  <c r="AE197" i="2"/>
  <c r="K200" i="2"/>
  <c r="I201" i="2"/>
  <c r="J287" i="2"/>
  <c r="I286" i="2"/>
  <c r="J286" i="2" s="1"/>
  <c r="I365" i="2"/>
  <c r="K364" i="2"/>
  <c r="K113" i="2"/>
  <c r="K137" i="2"/>
  <c r="K143" i="2"/>
  <c r="K157" i="2"/>
  <c r="K676" i="2" s="1"/>
  <c r="L181" i="2"/>
  <c r="K188" i="2"/>
  <c r="G194" i="2"/>
  <c r="F193" i="2"/>
  <c r="G193" i="2" s="1"/>
  <c r="K198" i="2"/>
  <c r="K197" i="2" s="1"/>
  <c r="G206" i="2"/>
  <c r="T228" i="2"/>
  <c r="K238" i="2"/>
  <c r="I238" i="2" s="1"/>
  <c r="J238" i="2" s="1"/>
  <c r="L228" i="2"/>
  <c r="I288" i="2"/>
  <c r="J288" i="2" s="1"/>
  <c r="K286" i="2"/>
  <c r="K289" i="2"/>
  <c r="I290" i="2"/>
  <c r="I304" i="2"/>
  <c r="J335" i="2"/>
  <c r="F5" i="2"/>
  <c r="G5" i="2" s="1"/>
  <c r="I17" i="2"/>
  <c r="J17" i="2" s="1"/>
  <c r="F24" i="2"/>
  <c r="G24" i="2" s="1"/>
  <c r="N33" i="2"/>
  <c r="N24" i="2" s="1"/>
  <c r="O78" i="2"/>
  <c r="O69" i="2" s="1"/>
  <c r="L79" i="2"/>
  <c r="H85" i="2"/>
  <c r="H69" i="2" s="1"/>
  <c r="L90" i="2"/>
  <c r="K90" i="2" s="1"/>
  <c r="I90" i="2" s="1"/>
  <c r="J90" i="2" s="1"/>
  <c r="AD662" i="2"/>
  <c r="AD660" i="2" s="1"/>
  <c r="AD659" i="2" s="1"/>
  <c r="T155" i="2"/>
  <c r="T154" i="2" s="1"/>
  <c r="L187" i="2"/>
  <c r="K192" i="2"/>
  <c r="I192" i="2" s="1"/>
  <c r="J192" i="2" s="1"/>
  <c r="U197" i="2"/>
  <c r="Y197" i="2"/>
  <c r="AC197" i="2"/>
  <c r="J203" i="2"/>
  <c r="G205" i="2"/>
  <c r="W205" i="2"/>
  <c r="AA205" i="2"/>
  <c r="K215" i="2"/>
  <c r="I215" i="2" s="1"/>
  <c r="J215" i="2" s="1"/>
  <c r="L206" i="2"/>
  <c r="K265" i="2"/>
  <c r="I266" i="2"/>
  <c r="K284" i="2"/>
  <c r="I285" i="2"/>
  <c r="T78" i="2"/>
  <c r="T69" i="2" s="1"/>
  <c r="U662" i="2"/>
  <c r="U660" i="2" s="1"/>
  <c r="U659" i="2" s="1"/>
  <c r="T217" i="2"/>
  <c r="T206" i="2" s="1"/>
  <c r="P242" i="2"/>
  <c r="P205" i="2" s="1"/>
  <c r="L244" i="2"/>
  <c r="I317" i="2"/>
  <c r="T251" i="2"/>
  <c r="T242" i="2" s="1"/>
  <c r="L316" i="2"/>
  <c r="K318" i="2"/>
  <c r="I318" i="2" s="1"/>
  <c r="J318" i="2" s="1"/>
  <c r="K324" i="2"/>
  <c r="I324" i="2" s="1"/>
  <c r="J324" i="2" s="1"/>
  <c r="G334" i="2"/>
  <c r="K340" i="2"/>
  <c r="I340" i="2" s="1"/>
  <c r="J340" i="2" s="1"/>
  <c r="K353" i="2"/>
  <c r="I353" i="2" s="1"/>
  <c r="J353" i="2" s="1"/>
  <c r="K361" i="2"/>
  <c r="I361" i="2" s="1"/>
  <c r="J361" i="2" s="1"/>
  <c r="K368" i="2"/>
  <c r="I368" i="2" s="1"/>
  <c r="J368" i="2" s="1"/>
  <c r="L366" i="2"/>
  <c r="G370" i="2"/>
  <c r="J371" i="2"/>
  <c r="K377" i="2"/>
  <c r="I377" i="2" s="1"/>
  <c r="J377" i="2" s="1"/>
  <c r="I490" i="2"/>
  <c r="K489" i="2"/>
  <c r="V662" i="2"/>
  <c r="V660" i="2" s="1"/>
  <c r="V659" i="2" s="1"/>
  <c r="V658" i="2" s="1"/>
  <c r="L303" i="2"/>
  <c r="L329" i="2"/>
  <c r="K334" i="2"/>
  <c r="L338" i="2"/>
  <c r="L364" i="2"/>
  <c r="L370" i="2"/>
  <c r="J384" i="2"/>
  <c r="I383" i="2"/>
  <c r="J383" i="2" s="1"/>
  <c r="I446" i="2"/>
  <c r="K445" i="2"/>
  <c r="L665" i="2"/>
  <c r="AB242" i="2"/>
  <c r="AB205" i="2" s="1"/>
  <c r="AB657" i="2" s="1"/>
  <c r="K320" i="2"/>
  <c r="I320" i="2" s="1"/>
  <c r="J320" i="2" s="1"/>
  <c r="K328" i="2"/>
  <c r="I328" i="2" s="1"/>
  <c r="J328" i="2" s="1"/>
  <c r="K330" i="2"/>
  <c r="K329" i="2" s="1"/>
  <c r="K337" i="2"/>
  <c r="I337" i="2" s="1"/>
  <c r="J337" i="2" s="1"/>
  <c r="K339" i="2"/>
  <c r="K344" i="2"/>
  <c r="I344" i="2" s="1"/>
  <c r="J344" i="2" s="1"/>
  <c r="K349" i="2"/>
  <c r="I349" i="2" s="1"/>
  <c r="J349" i="2" s="1"/>
  <c r="K357" i="2"/>
  <c r="I357" i="2" s="1"/>
  <c r="J357" i="2" s="1"/>
  <c r="F363" i="2"/>
  <c r="G363" i="2" s="1"/>
  <c r="K366" i="2"/>
  <c r="T370" i="2"/>
  <c r="T363" i="2" s="1"/>
  <c r="K373" i="2"/>
  <c r="I373" i="2" s="1"/>
  <c r="J373" i="2" s="1"/>
  <c r="I390" i="2"/>
  <c r="K389" i="2"/>
  <c r="I393" i="2"/>
  <c r="K391" i="2"/>
  <c r="K411" i="2"/>
  <c r="I412" i="2"/>
  <c r="K416" i="2"/>
  <c r="I417" i="2"/>
  <c r="I448" i="2"/>
  <c r="K447" i="2"/>
  <c r="J454" i="2"/>
  <c r="J462" i="2"/>
  <c r="J470" i="2"/>
  <c r="J487" i="2"/>
  <c r="I486" i="2"/>
  <c r="J486" i="2" s="1"/>
  <c r="J330" i="2"/>
  <c r="I329" i="2"/>
  <c r="J329" i="2" s="1"/>
  <c r="I366" i="2"/>
  <c r="J366" i="2" s="1"/>
  <c r="J409" i="2"/>
  <c r="I410" i="2"/>
  <c r="J410" i="2" s="1"/>
  <c r="K408" i="2"/>
  <c r="J414" i="2"/>
  <c r="I415" i="2"/>
  <c r="J415" i="2" s="1"/>
  <c r="K413" i="2"/>
  <c r="I420" i="2"/>
  <c r="K419" i="2"/>
  <c r="I439" i="2"/>
  <c r="J444" i="2"/>
  <c r="I443" i="2"/>
  <c r="J443" i="2" s="1"/>
  <c r="J452" i="2"/>
  <c r="I453" i="2"/>
  <c r="J453" i="2" s="1"/>
  <c r="K451" i="2"/>
  <c r="K450" i="2" s="1"/>
  <c r="J473" i="2"/>
  <c r="I472" i="2"/>
  <c r="T670" i="2"/>
  <c r="L383" i="2"/>
  <c r="K406" i="2"/>
  <c r="L408" i="2"/>
  <c r="L413" i="2"/>
  <c r="L451" i="2"/>
  <c r="L450" i="2" s="1"/>
  <c r="L671" i="2"/>
  <c r="L668" i="2"/>
  <c r="L669" i="2"/>
  <c r="K472" i="2"/>
  <c r="T472" i="2"/>
  <c r="T471" i="2" s="1"/>
  <c r="K486" i="2"/>
  <c r="G489" i="2"/>
  <c r="I527" i="2"/>
  <c r="J527" i="2" s="1"/>
  <c r="M543" i="2"/>
  <c r="F388" i="2"/>
  <c r="L405" i="2"/>
  <c r="L438" i="2"/>
  <c r="T671" i="2"/>
  <c r="T668" i="2"/>
  <c r="T669" i="2"/>
  <c r="G472" i="2"/>
  <c r="I485" i="2"/>
  <c r="K484" i="2"/>
  <c r="F488" i="2"/>
  <c r="G488" i="2" s="1"/>
  <c r="I522" i="2"/>
  <c r="K521" i="2"/>
  <c r="T489" i="2"/>
  <c r="T488" i="2" s="1"/>
  <c r="K505" i="2"/>
  <c r="I506" i="2"/>
  <c r="K668" i="2"/>
  <c r="I538" i="2"/>
  <c r="E543" i="2"/>
  <c r="H543" i="2"/>
  <c r="N543" i="2"/>
  <c r="R543" i="2"/>
  <c r="V543" i="2"/>
  <c r="Z543" i="2"/>
  <c r="AD543" i="2"/>
  <c r="K544" i="2"/>
  <c r="I545" i="2"/>
  <c r="T571" i="2"/>
  <c r="T543" i="2" s="1"/>
  <c r="I565" i="2"/>
  <c r="K564" i="2"/>
  <c r="K580" i="2"/>
  <c r="T579" i="2"/>
  <c r="I584" i="2"/>
  <c r="K583" i="2"/>
  <c r="L664" i="2"/>
  <c r="K535" i="2"/>
  <c r="I535" i="2" s="1"/>
  <c r="J535" i="2" s="1"/>
  <c r="I540" i="2"/>
  <c r="K539" i="2"/>
  <c r="L544" i="2"/>
  <c r="P543" i="2"/>
  <c r="X543" i="2"/>
  <c r="AB543" i="2"/>
  <c r="K558" i="2"/>
  <c r="I558" i="2" s="1"/>
  <c r="J558" i="2" s="1"/>
  <c r="I570" i="2"/>
  <c r="K569" i="2"/>
  <c r="K572" i="2"/>
  <c r="K674" i="2"/>
  <c r="I578" i="2"/>
  <c r="I590" i="2"/>
  <c r="K589" i="2"/>
  <c r="I526" i="2"/>
  <c r="T664" i="2"/>
  <c r="G544" i="2"/>
  <c r="G543" i="2" s="1"/>
  <c r="F543" i="2"/>
  <c r="K551" i="2"/>
  <c r="M662" i="2"/>
  <c r="M660" i="2" s="1"/>
  <c r="M659" i="2" s="1"/>
  <c r="M658" i="2" s="1"/>
  <c r="L576" i="2"/>
  <c r="K581" i="2"/>
  <c r="I581" i="2" s="1"/>
  <c r="J581" i="2" s="1"/>
  <c r="L579" i="2"/>
  <c r="T674" i="2"/>
  <c r="L599" i="2"/>
  <c r="G605" i="2"/>
  <c r="T616" i="2"/>
  <c r="K617" i="2"/>
  <c r="I679" i="2"/>
  <c r="J679" i="2" s="1"/>
  <c r="J647" i="2"/>
  <c r="J648" i="2"/>
  <c r="I675" i="2"/>
  <c r="J675" i="2" s="1"/>
  <c r="S657" i="2"/>
  <c r="K620" i="2"/>
  <c r="T619" i="2"/>
  <c r="I650" i="2"/>
  <c r="E598" i="2"/>
  <c r="I599" i="2"/>
  <c r="L605" i="2"/>
  <c r="K614" i="2"/>
  <c r="I614" i="2" s="1"/>
  <c r="J614" i="2" s="1"/>
  <c r="G616" i="2"/>
  <c r="K618" i="2"/>
  <c r="I618" i="2" s="1"/>
  <c r="J618" i="2" s="1"/>
  <c r="K622" i="2"/>
  <c r="I622" i="2" s="1"/>
  <c r="J622" i="2" s="1"/>
  <c r="L619" i="2"/>
  <c r="J626" i="2"/>
  <c r="I625" i="2"/>
  <c r="J625" i="2" s="1"/>
  <c r="T661" i="2"/>
  <c r="L674" i="2"/>
  <c r="K585" i="2"/>
  <c r="K599" i="2"/>
  <c r="T605" i="2"/>
  <c r="T598" i="2" s="1"/>
  <c r="K606" i="2"/>
  <c r="J628" i="2"/>
  <c r="I629" i="2"/>
  <c r="J629" i="2" s="1"/>
  <c r="K627" i="2"/>
  <c r="I636" i="2"/>
  <c r="J639" i="2"/>
  <c r="L627" i="2"/>
  <c r="K632" i="2"/>
  <c r="K636" i="2"/>
  <c r="R662" i="2"/>
  <c r="R660" i="2" s="1"/>
  <c r="R659" i="2" s="1"/>
  <c r="R658" i="2" s="1"/>
  <c r="N677" i="2"/>
  <c r="T679" i="2"/>
  <c r="T677" i="2"/>
  <c r="L675" i="2"/>
  <c r="T663" i="2"/>
  <c r="K651" i="2"/>
  <c r="I651" i="2" s="1"/>
  <c r="J651" i="2" s="1"/>
  <c r="K655" i="2"/>
  <c r="I655" i="2" s="1"/>
  <c r="J655" i="2" s="1"/>
  <c r="AC658" i="2"/>
  <c r="P663" i="2"/>
  <c r="G635" i="2"/>
  <c r="G636" i="2"/>
  <c r="L636" i="2"/>
  <c r="T675" i="2"/>
  <c r="N662" i="2"/>
  <c r="H672" i="2"/>
  <c r="K677" i="2"/>
  <c r="K679" i="2"/>
  <c r="L662" i="2"/>
  <c r="L679" i="2"/>
  <c r="K675" i="2"/>
  <c r="L663" i="2"/>
  <c r="L652" i="2"/>
  <c r="K652" i="2" s="1"/>
  <c r="I652" i="2" s="1"/>
  <c r="J652" i="2" s="1"/>
  <c r="N661" i="2"/>
  <c r="I653" i="2"/>
  <c r="T662" i="2"/>
  <c r="K656" i="2"/>
  <c r="N672" i="2"/>
  <c r="F672" i="2"/>
  <c r="L677" i="2"/>
  <c r="F660" i="2"/>
  <c r="E672" i="2"/>
  <c r="S5" i="1"/>
  <c r="F13" i="1"/>
  <c r="J22" i="1"/>
  <c r="S52" i="1"/>
  <c r="L9" i="1"/>
  <c r="I19" i="1"/>
  <c r="J19" i="1" s="1"/>
  <c r="J20" i="1"/>
  <c r="K23" i="1"/>
  <c r="L22" i="1"/>
  <c r="K22" i="1" s="1"/>
  <c r="J27" i="1"/>
  <c r="K28" i="1"/>
  <c r="L27" i="1"/>
  <c r="K27" i="1" s="1"/>
  <c r="G40" i="1"/>
  <c r="K42" i="1"/>
  <c r="I42" i="1" s="1"/>
  <c r="L41" i="1"/>
  <c r="K17" i="1"/>
  <c r="L16" i="1"/>
  <c r="K16" i="1" s="1"/>
  <c r="K21" i="1"/>
  <c r="L20" i="1"/>
  <c r="K75" i="1"/>
  <c r="K231" i="1" s="1"/>
  <c r="L85" i="1"/>
  <c r="K85" i="1" s="1"/>
  <c r="K86" i="1"/>
  <c r="S227" i="1"/>
  <c r="S91" i="1"/>
  <c r="S61" i="1" s="1"/>
  <c r="K149" i="1"/>
  <c r="F27" i="1"/>
  <c r="G27" i="1" s="1"/>
  <c r="K35" i="1"/>
  <c r="K237" i="1" s="1"/>
  <c r="L44" i="1"/>
  <c r="K44" i="1" s="1"/>
  <c r="F52" i="1"/>
  <c r="G52" i="1" s="1"/>
  <c r="S55" i="1"/>
  <c r="K55" i="1" s="1"/>
  <c r="I57" i="1"/>
  <c r="J57" i="1" s="1"/>
  <c r="L58" i="1"/>
  <c r="I61" i="1"/>
  <c r="J61" i="1" s="1"/>
  <c r="L62" i="1"/>
  <c r="K69" i="1"/>
  <c r="K76" i="1"/>
  <c r="T94" i="1"/>
  <c r="X94" i="1"/>
  <c r="AB94" i="1"/>
  <c r="K97" i="1"/>
  <c r="K98" i="1"/>
  <c r="S97" i="1"/>
  <c r="S94" i="1" s="1"/>
  <c r="J111" i="1"/>
  <c r="L232" i="1"/>
  <c r="K112" i="1"/>
  <c r="K232" i="1" s="1"/>
  <c r="L111" i="1"/>
  <c r="K111" i="1" s="1"/>
  <c r="K116" i="1"/>
  <c r="S114" i="1"/>
  <c r="K114" i="1" s="1"/>
  <c r="J152" i="1"/>
  <c r="I149" i="1"/>
  <c r="J149" i="1" s="1"/>
  <c r="I162" i="1"/>
  <c r="J162" i="1" s="1"/>
  <c r="J163" i="1"/>
  <c r="I234" i="1"/>
  <c r="J234" i="1" s="1"/>
  <c r="J168" i="1"/>
  <c r="G175" i="1"/>
  <c r="H231" i="1"/>
  <c r="H229" i="1"/>
  <c r="H225" i="1" s="1"/>
  <c r="I231" i="1"/>
  <c r="J231" i="1" s="1"/>
  <c r="I229" i="1"/>
  <c r="J229" i="1" s="1"/>
  <c r="K95" i="1"/>
  <c r="L94" i="1"/>
  <c r="K94" i="1" s="1"/>
  <c r="G114" i="1"/>
  <c r="F113" i="1"/>
  <c r="K135" i="1"/>
  <c r="I146" i="1"/>
  <c r="J147" i="1"/>
  <c r="J166" i="1"/>
  <c r="I164" i="1"/>
  <c r="J164" i="1" s="1"/>
  <c r="L52" i="1"/>
  <c r="H65" i="1"/>
  <c r="H61" i="1" s="1"/>
  <c r="J75" i="1"/>
  <c r="L91" i="1"/>
  <c r="K91" i="1" s="1"/>
  <c r="K93" i="1"/>
  <c r="K228" i="1" s="1"/>
  <c r="F94" i="1"/>
  <c r="G94" i="1" s="1"/>
  <c r="H94" i="1"/>
  <c r="V94" i="1"/>
  <c r="Z94" i="1"/>
  <c r="K99" i="1"/>
  <c r="I158" i="1"/>
  <c r="J158" i="1" s="1"/>
  <c r="J160" i="1"/>
  <c r="J183" i="1"/>
  <c r="I179" i="1"/>
  <c r="L124" i="1"/>
  <c r="M135" i="1"/>
  <c r="M113" i="1" s="1"/>
  <c r="M223" i="1" s="1"/>
  <c r="K138" i="1"/>
  <c r="E145" i="1"/>
  <c r="G145" i="1" s="1"/>
  <c r="K153" i="1"/>
  <c r="E171" i="1"/>
  <c r="G171" i="1" s="1"/>
  <c r="I171" i="1"/>
  <c r="L172" i="1"/>
  <c r="E175" i="1"/>
  <c r="J175" i="1" s="1"/>
  <c r="F178" i="1"/>
  <c r="G178" i="1" s="1"/>
  <c r="S179" i="1"/>
  <c r="S178" i="1" s="1"/>
  <c r="I198" i="1"/>
  <c r="J198" i="1" s="1"/>
  <c r="K200" i="1"/>
  <c r="G206" i="1"/>
  <c r="G209" i="1"/>
  <c r="J210" i="1"/>
  <c r="I209" i="1"/>
  <c r="J209" i="1" s="1"/>
  <c r="S234" i="1"/>
  <c r="R223" i="1"/>
  <c r="S239" i="1"/>
  <c r="S235" i="1" s="1"/>
  <c r="M233" i="1"/>
  <c r="I233" i="1"/>
  <c r="J233" i="1" s="1"/>
  <c r="J195" i="1"/>
  <c r="L229" i="1"/>
  <c r="K207" i="1"/>
  <c r="L206" i="1"/>
  <c r="K206" i="1" s="1"/>
  <c r="V223" i="1"/>
  <c r="H223" i="1"/>
  <c r="P223" i="1"/>
  <c r="T223" i="1"/>
  <c r="X223" i="1"/>
  <c r="AB223" i="1"/>
  <c r="W223" i="1"/>
  <c r="AA223" i="1"/>
  <c r="K110" i="1"/>
  <c r="K240" i="1" s="1"/>
  <c r="S232" i="1"/>
  <c r="L130" i="1"/>
  <c r="K130" i="1" s="1"/>
  <c r="S135" i="1"/>
  <c r="J155" i="1"/>
  <c r="L158" i="1"/>
  <c r="K158" i="1" s="1"/>
  <c r="G176" i="1"/>
  <c r="K176" i="1"/>
  <c r="G199" i="1"/>
  <c r="F198" i="1"/>
  <c r="G198" i="1" s="1"/>
  <c r="K229" i="1"/>
  <c r="G210" i="1"/>
  <c r="Z223" i="1"/>
  <c r="AC223" i="1"/>
  <c r="S233" i="1"/>
  <c r="K239" i="1"/>
  <c r="E113" i="1"/>
  <c r="J113" i="1" s="1"/>
  <c r="S124" i="1"/>
  <c r="K165" i="1"/>
  <c r="K180" i="1"/>
  <c r="L179" i="1"/>
  <c r="G194" i="1"/>
  <c r="L196" i="1"/>
  <c r="K196" i="1" s="1"/>
  <c r="L234" i="1"/>
  <c r="N223" i="1"/>
  <c r="L239" i="1"/>
  <c r="L235" i="1" s="1"/>
  <c r="R225" i="1"/>
  <c r="M225" i="1"/>
  <c r="K190" i="1"/>
  <c r="L199" i="1"/>
  <c r="S210" i="1"/>
  <c r="S209" i="1" s="1"/>
  <c r="I219" i="1"/>
  <c r="S229" i="1"/>
  <c r="L233" i="1"/>
  <c r="F235" i="1"/>
  <c r="G235" i="1" s="1"/>
  <c r="J240" i="1"/>
  <c r="L210" i="1"/>
  <c r="K212" i="1"/>
  <c r="K234" i="1" s="1"/>
  <c r="L215" i="1"/>
  <c r="F223" i="1"/>
  <c r="J237" i="1"/>
  <c r="G225" i="1" l="1"/>
  <c r="G42" i="3"/>
  <c r="U9" i="3"/>
  <c r="W9" i="3"/>
  <c r="Y7" i="3"/>
  <c r="M657" i="2"/>
  <c r="AE658" i="2"/>
  <c r="AA658" i="2"/>
  <c r="V657" i="2"/>
  <c r="U657" i="2"/>
  <c r="AD658" i="2"/>
  <c r="O658" i="2"/>
  <c r="Y658" i="2"/>
  <c r="K303" i="2"/>
  <c r="AC657" i="2"/>
  <c r="Q657" i="2"/>
  <c r="AD657" i="2"/>
  <c r="W657" i="2"/>
  <c r="R657" i="2"/>
  <c r="E657" i="2"/>
  <c r="K438" i="2"/>
  <c r="P659" i="2"/>
  <c r="P658" i="2" s="1"/>
  <c r="AA657" i="2"/>
  <c r="G388" i="2"/>
  <c r="X657" i="2"/>
  <c r="P657" i="2"/>
  <c r="Z657" i="2"/>
  <c r="H657" i="2"/>
  <c r="T388" i="2"/>
  <c r="J62" i="2"/>
  <c r="K661" i="2"/>
  <c r="T660" i="2"/>
  <c r="T659" i="2" s="1"/>
  <c r="I677" i="2"/>
  <c r="J677" i="2" s="1"/>
  <c r="T666" i="2"/>
  <c r="I668" i="2"/>
  <c r="K155" i="2"/>
  <c r="K562" i="2"/>
  <c r="I563" i="2"/>
  <c r="K383" i="2"/>
  <c r="K363" i="2" s="1"/>
  <c r="L661" i="2"/>
  <c r="L660" i="2" s="1"/>
  <c r="U658" i="2"/>
  <c r="O657" i="2"/>
  <c r="L154" i="2"/>
  <c r="I70" i="2"/>
  <c r="J70" i="2" s="1"/>
  <c r="K62" i="2"/>
  <c r="K25" i="2"/>
  <c r="K24" i="2" s="1"/>
  <c r="N657" i="2"/>
  <c r="E659" i="2"/>
  <c r="G672" i="2"/>
  <c r="K370" i="2"/>
  <c r="K228" i="2"/>
  <c r="K45" i="2"/>
  <c r="G666" i="2"/>
  <c r="N224" i="1"/>
  <c r="I225" i="1"/>
  <c r="L225" i="1"/>
  <c r="AJ42" i="3"/>
  <c r="AJ49" i="3"/>
  <c r="AJ52" i="3" s="1"/>
  <c r="AD42" i="3"/>
  <c r="AD49" i="3"/>
  <c r="AD52" i="3" s="1"/>
  <c r="AP42" i="3"/>
  <c r="AP49" i="3"/>
  <c r="AP52" i="3" s="1"/>
  <c r="L42" i="3"/>
  <c r="L51" i="3"/>
  <c r="L52" i="3" s="1"/>
  <c r="AR42" i="3"/>
  <c r="AR49" i="3"/>
  <c r="AR52" i="3" s="1"/>
  <c r="Z42" i="3"/>
  <c r="Z49" i="3"/>
  <c r="Z52" i="3" s="1"/>
  <c r="AG19" i="3"/>
  <c r="O51" i="3"/>
  <c r="X42" i="3"/>
  <c r="X49" i="3"/>
  <c r="X52" i="3" s="1"/>
  <c r="M39" i="3"/>
  <c r="M40" i="3"/>
  <c r="V42" i="3"/>
  <c r="V49" i="3"/>
  <c r="V52" i="3" s="1"/>
  <c r="AV42" i="3"/>
  <c r="AV49" i="3"/>
  <c r="AV52" i="3" s="1"/>
  <c r="S15" i="3"/>
  <c r="U13" i="3"/>
  <c r="T42" i="3"/>
  <c r="T49" i="3"/>
  <c r="T52" i="3" s="1"/>
  <c r="Q40" i="3"/>
  <c r="Q39" i="3"/>
  <c r="AT42" i="3"/>
  <c r="AT49" i="3"/>
  <c r="AT52" i="3" s="1"/>
  <c r="AL42" i="3"/>
  <c r="AL49" i="3"/>
  <c r="AL52" i="3" s="1"/>
  <c r="H42" i="3"/>
  <c r="H49" i="3"/>
  <c r="H52" i="3" s="1"/>
  <c r="O42" i="3"/>
  <c r="O49" i="3"/>
  <c r="U27" i="3"/>
  <c r="W25" i="3"/>
  <c r="AN42" i="3"/>
  <c r="AN49" i="3"/>
  <c r="AN52" i="3" s="1"/>
  <c r="AH42" i="3"/>
  <c r="AH49" i="3"/>
  <c r="AH52" i="3" s="1"/>
  <c r="W31" i="3"/>
  <c r="U37" i="3"/>
  <c r="U36" i="3"/>
  <c r="S6" i="3"/>
  <c r="S28" i="3"/>
  <c r="U4" i="3"/>
  <c r="AC22" i="3"/>
  <c r="AA24" i="3"/>
  <c r="T205" i="2"/>
  <c r="I632" i="2"/>
  <c r="K631" i="2"/>
  <c r="J636" i="2"/>
  <c r="I606" i="2"/>
  <c r="K605" i="2"/>
  <c r="L672" i="2"/>
  <c r="I620" i="2"/>
  <c r="K619" i="2"/>
  <c r="K616" i="2"/>
  <c r="I617" i="2"/>
  <c r="T672" i="2"/>
  <c r="J590" i="2"/>
  <c r="I589" i="2"/>
  <c r="J589" i="2" s="1"/>
  <c r="G598" i="2"/>
  <c r="K669" i="2"/>
  <c r="L388" i="2"/>
  <c r="K471" i="2"/>
  <c r="I413" i="2"/>
  <c r="J413" i="2" s="1"/>
  <c r="I408" i="2"/>
  <c r="J408" i="2" s="1"/>
  <c r="I669" i="2"/>
  <c r="J669" i="2" s="1"/>
  <c r="I671" i="2"/>
  <c r="J671" i="2" s="1"/>
  <c r="J393" i="2"/>
  <c r="I391" i="2"/>
  <c r="L363" i="2"/>
  <c r="K217" i="2"/>
  <c r="I217" i="2" s="1"/>
  <c r="J217" i="2" s="1"/>
  <c r="I200" i="2"/>
  <c r="J200" i="2" s="1"/>
  <c r="J201" i="2"/>
  <c r="J176" i="2"/>
  <c r="I175" i="2"/>
  <c r="J175" i="2" s="1"/>
  <c r="J182" i="2"/>
  <c r="I181" i="2"/>
  <c r="J181" i="2" s="1"/>
  <c r="I551" i="2"/>
  <c r="K550" i="2"/>
  <c r="I525" i="2"/>
  <c r="J525" i="2" s="1"/>
  <c r="J526" i="2"/>
  <c r="I674" i="2"/>
  <c r="J578" i="2"/>
  <c r="I569" i="2"/>
  <c r="J569" i="2" s="1"/>
  <c r="J570" i="2"/>
  <c r="I539" i="2"/>
  <c r="J539" i="2" s="1"/>
  <c r="J540" i="2"/>
  <c r="J584" i="2"/>
  <c r="I583" i="2"/>
  <c r="J583" i="2" s="1"/>
  <c r="I564" i="2"/>
  <c r="J564" i="2" s="1"/>
  <c r="J565" i="2"/>
  <c r="I419" i="2"/>
  <c r="J419" i="2" s="1"/>
  <c r="J420" i="2"/>
  <c r="J412" i="2"/>
  <c r="I411" i="2"/>
  <c r="J411" i="2" s="1"/>
  <c r="K316" i="2"/>
  <c r="J266" i="2"/>
  <c r="I265" i="2"/>
  <c r="J265" i="2" s="1"/>
  <c r="L78" i="2"/>
  <c r="K79" i="2"/>
  <c r="K251" i="2"/>
  <c r="I251" i="2" s="1"/>
  <c r="J251" i="2" s="1"/>
  <c r="K665" i="2"/>
  <c r="K194" i="2"/>
  <c r="K193" i="2" s="1"/>
  <c r="I196" i="2"/>
  <c r="K141" i="2"/>
  <c r="K140" i="2" s="1"/>
  <c r="I87" i="2"/>
  <c r="K85" i="2"/>
  <c r="I40" i="2"/>
  <c r="J41" i="2"/>
  <c r="J33" i="2"/>
  <c r="I24" i="2"/>
  <c r="J24" i="2" s="1"/>
  <c r="J653" i="2"/>
  <c r="I649" i="2"/>
  <c r="J649" i="2" s="1"/>
  <c r="J650" i="2"/>
  <c r="F659" i="2"/>
  <c r="G660" i="2"/>
  <c r="I656" i="2"/>
  <c r="N660" i="2"/>
  <c r="N659" i="2" s="1"/>
  <c r="N658" i="2" s="1"/>
  <c r="I627" i="2"/>
  <c r="J627" i="2" s="1"/>
  <c r="K672" i="2"/>
  <c r="I544" i="2"/>
  <c r="J545" i="2"/>
  <c r="K671" i="2"/>
  <c r="I484" i="2"/>
  <c r="J484" i="2" s="1"/>
  <c r="J485" i="2"/>
  <c r="L666" i="2"/>
  <c r="J472" i="2"/>
  <c r="I471" i="2"/>
  <c r="J471" i="2" s="1"/>
  <c r="I451" i="2"/>
  <c r="J668" i="2"/>
  <c r="I447" i="2"/>
  <c r="J447" i="2" s="1"/>
  <c r="J448" i="2"/>
  <c r="I389" i="2"/>
  <c r="J390" i="2"/>
  <c r="K670" i="2"/>
  <c r="I339" i="2"/>
  <c r="K338" i="2"/>
  <c r="J446" i="2"/>
  <c r="I445" i="2"/>
  <c r="J445" i="2" s="1"/>
  <c r="J317" i="2"/>
  <c r="I316" i="2"/>
  <c r="J316" i="2" s="1"/>
  <c r="I370" i="2"/>
  <c r="J370" i="2" s="1"/>
  <c r="J304" i="2"/>
  <c r="I303" i="2"/>
  <c r="J303" i="2" s="1"/>
  <c r="I188" i="2"/>
  <c r="K187" i="2"/>
  <c r="K154" i="2" s="1"/>
  <c r="I137" i="2"/>
  <c r="I664" i="2" s="1"/>
  <c r="J664" i="2" s="1"/>
  <c r="K136" i="2"/>
  <c r="J365" i="2"/>
  <c r="I364" i="2"/>
  <c r="J140" i="2"/>
  <c r="J45" i="2"/>
  <c r="J198" i="2"/>
  <c r="I197" i="2"/>
  <c r="J197" i="2" s="1"/>
  <c r="J159" i="2"/>
  <c r="I158" i="2"/>
  <c r="J119" i="2"/>
  <c r="I118" i="2"/>
  <c r="J118" i="2" s="1"/>
  <c r="J599" i="2"/>
  <c r="L649" i="2"/>
  <c r="L635" i="2" s="1"/>
  <c r="F657" i="2"/>
  <c r="K649" i="2"/>
  <c r="K635" i="2" s="1"/>
  <c r="L598" i="2"/>
  <c r="L571" i="2"/>
  <c r="L543" i="2" s="1"/>
  <c r="K576" i="2"/>
  <c r="I576" i="2" s="1"/>
  <c r="J576" i="2" s="1"/>
  <c r="I572" i="2"/>
  <c r="K579" i="2"/>
  <c r="I580" i="2"/>
  <c r="J538" i="2"/>
  <c r="I537" i="2"/>
  <c r="J537" i="2" s="1"/>
  <c r="J506" i="2"/>
  <c r="I505" i="2"/>
  <c r="J505" i="2" s="1"/>
  <c r="J522" i="2"/>
  <c r="I521" i="2"/>
  <c r="J521" i="2" s="1"/>
  <c r="K525" i="2"/>
  <c r="K488" i="2" s="1"/>
  <c r="I406" i="2"/>
  <c r="K405" i="2"/>
  <c r="K388" i="2" s="1"/>
  <c r="J439" i="2"/>
  <c r="I438" i="2"/>
  <c r="J438" i="2" s="1"/>
  <c r="J417" i="2"/>
  <c r="I416" i="2"/>
  <c r="J416" i="2" s="1"/>
  <c r="J490" i="2"/>
  <c r="I489" i="2"/>
  <c r="K244" i="2"/>
  <c r="K663" i="2" s="1"/>
  <c r="L242" i="2"/>
  <c r="L205" i="2" s="1"/>
  <c r="J285" i="2"/>
  <c r="I284" i="2"/>
  <c r="J284" i="2" s="1"/>
  <c r="I334" i="2"/>
  <c r="J334" i="2" s="1"/>
  <c r="J290" i="2"/>
  <c r="I289" i="2"/>
  <c r="J289" i="2" s="1"/>
  <c r="I113" i="2"/>
  <c r="K112" i="2"/>
  <c r="K206" i="2"/>
  <c r="I206" i="2"/>
  <c r="I228" i="2"/>
  <c r="J228" i="2" s="1"/>
  <c r="L85" i="2"/>
  <c r="K199" i="1"/>
  <c r="L198" i="1"/>
  <c r="K198" i="1" s="1"/>
  <c r="K210" i="1"/>
  <c r="L209" i="1"/>
  <c r="K209" i="1" s="1"/>
  <c r="E223" i="1"/>
  <c r="G223" i="1" s="1"/>
  <c r="K233" i="1"/>
  <c r="K225" i="1" s="1"/>
  <c r="K124" i="1"/>
  <c r="K52" i="1"/>
  <c r="K58" i="1"/>
  <c r="L57" i="1"/>
  <c r="K57" i="1" s="1"/>
  <c r="L145" i="1"/>
  <c r="K145" i="1" s="1"/>
  <c r="K41" i="1"/>
  <c r="L40" i="1"/>
  <c r="K40" i="1" s="1"/>
  <c r="I178" i="1"/>
  <c r="J178" i="1" s="1"/>
  <c r="J179" i="1"/>
  <c r="J146" i="1"/>
  <c r="I145" i="1"/>
  <c r="J145" i="1" s="1"/>
  <c r="G113" i="1"/>
  <c r="K235" i="1"/>
  <c r="I41" i="1"/>
  <c r="J42" i="1"/>
  <c r="I215" i="1"/>
  <c r="J219" i="1"/>
  <c r="K179" i="1"/>
  <c r="L178" i="1"/>
  <c r="K178" i="1" s="1"/>
  <c r="J225" i="1"/>
  <c r="AC224" i="1"/>
  <c r="K172" i="1"/>
  <c r="L171" i="1"/>
  <c r="K171" i="1" s="1"/>
  <c r="K215" i="1"/>
  <c r="L214" i="1"/>
  <c r="L113" i="1"/>
  <c r="J171" i="1"/>
  <c r="K62" i="1"/>
  <c r="L61" i="1"/>
  <c r="K61" i="1" s="1"/>
  <c r="S225" i="1"/>
  <c r="L5" i="1"/>
  <c r="K9" i="1"/>
  <c r="K5" i="1" s="1"/>
  <c r="S113" i="1"/>
  <c r="S223" i="1" s="1"/>
  <c r="K20" i="1"/>
  <c r="L19" i="1"/>
  <c r="K19" i="1" s="1"/>
  <c r="AA7" i="3" l="1"/>
  <c r="Y9" i="3"/>
  <c r="T658" i="2"/>
  <c r="G657" i="2"/>
  <c r="T657" i="2"/>
  <c r="AE657" i="2"/>
  <c r="J563" i="2"/>
  <c r="I562" i="2"/>
  <c r="J562" i="2" s="1"/>
  <c r="K666" i="2"/>
  <c r="K571" i="2"/>
  <c r="K543" i="2" s="1"/>
  <c r="K662" i="2"/>
  <c r="K660" i="2" s="1"/>
  <c r="K598" i="2"/>
  <c r="K224" i="1"/>
  <c r="AB224" i="1" s="1"/>
  <c r="S30" i="3"/>
  <c r="S40" i="3"/>
  <c r="W37" i="3"/>
  <c r="W39" i="3" s="1"/>
  <c r="Y31" i="3"/>
  <c r="W36" i="3"/>
  <c r="Q49" i="3"/>
  <c r="Q52" i="3" s="1"/>
  <c r="Q42" i="3"/>
  <c r="Y25" i="3"/>
  <c r="W27" i="3"/>
  <c r="M42" i="3"/>
  <c r="M49" i="3"/>
  <c r="M52" i="3" s="1"/>
  <c r="AE22" i="3"/>
  <c r="AC24" i="3"/>
  <c r="U6" i="3"/>
  <c r="U28" i="3"/>
  <c r="U30" i="3" s="1"/>
  <c r="W4" i="3"/>
  <c r="U39" i="3"/>
  <c r="O52" i="3"/>
  <c r="U15" i="3"/>
  <c r="W13" i="3"/>
  <c r="AG21" i="3"/>
  <c r="J40" i="2"/>
  <c r="I39" i="2"/>
  <c r="J39" i="2" s="1"/>
  <c r="J87" i="2"/>
  <c r="I85" i="2"/>
  <c r="J206" i="2"/>
  <c r="I136" i="2"/>
  <c r="J136" i="2" s="1"/>
  <c r="J137" i="2"/>
  <c r="I670" i="2"/>
  <c r="J670" i="2" s="1"/>
  <c r="J339" i="2"/>
  <c r="I338" i="2"/>
  <c r="J338" i="2" s="1"/>
  <c r="J451" i="2"/>
  <c r="I450" i="2"/>
  <c r="J450" i="2" s="1"/>
  <c r="J544" i="2"/>
  <c r="L69" i="2"/>
  <c r="L657" i="2" s="1"/>
  <c r="J674" i="2"/>
  <c r="I672" i="2"/>
  <c r="J672" i="2" s="1"/>
  <c r="I619" i="2"/>
  <c r="J619" i="2" s="1"/>
  <c r="J620" i="2"/>
  <c r="I605" i="2"/>
  <c r="J606" i="2"/>
  <c r="J632" i="2"/>
  <c r="I631" i="2"/>
  <c r="J631" i="2" s="1"/>
  <c r="J489" i="2"/>
  <c r="I488" i="2"/>
  <c r="J488" i="2" s="1"/>
  <c r="J580" i="2"/>
  <c r="I579" i="2"/>
  <c r="J579" i="2" s="1"/>
  <c r="J572" i="2"/>
  <c r="I571" i="2"/>
  <c r="J571" i="2" s="1"/>
  <c r="J364" i="2"/>
  <c r="I363" i="2"/>
  <c r="J363" i="2" s="1"/>
  <c r="G659" i="2"/>
  <c r="J551" i="2"/>
  <c r="I550" i="2"/>
  <c r="J550" i="2" s="1"/>
  <c r="J617" i="2"/>
  <c r="I616" i="2"/>
  <c r="J616" i="2" s="1"/>
  <c r="I244" i="2"/>
  <c r="K242" i="2"/>
  <c r="K205" i="2" s="1"/>
  <c r="J406" i="2"/>
  <c r="I405" i="2"/>
  <c r="J405" i="2" s="1"/>
  <c r="I187" i="2"/>
  <c r="J187" i="2" s="1"/>
  <c r="J188" i="2"/>
  <c r="I666" i="2"/>
  <c r="J666" i="2" s="1"/>
  <c r="I662" i="2"/>
  <c r="J662" i="2" s="1"/>
  <c r="J656" i="2"/>
  <c r="I665" i="2"/>
  <c r="J665" i="2" s="1"/>
  <c r="J196" i="2"/>
  <c r="I194" i="2"/>
  <c r="L659" i="2"/>
  <c r="L658" i="2" s="1"/>
  <c r="I635" i="2"/>
  <c r="I112" i="2"/>
  <c r="J112" i="2" s="1"/>
  <c r="J113" i="2"/>
  <c r="J158" i="2"/>
  <c r="I154" i="2"/>
  <c r="J154" i="2" s="1"/>
  <c r="J389" i="2"/>
  <c r="I388" i="2"/>
  <c r="J388" i="2" s="1"/>
  <c r="I661" i="2"/>
  <c r="K78" i="2"/>
  <c r="K69" i="2" s="1"/>
  <c r="K664" i="2"/>
  <c r="L223" i="1"/>
  <c r="K214" i="1"/>
  <c r="J41" i="1"/>
  <c r="I40" i="1"/>
  <c r="J40" i="1" s="1"/>
  <c r="J215" i="1"/>
  <c r="I214" i="1"/>
  <c r="K113" i="1"/>
  <c r="J239" i="1"/>
  <c r="I235" i="1"/>
  <c r="K657" i="2" l="1"/>
  <c r="K659" i="2"/>
  <c r="K658" i="2" s="1"/>
  <c r="W6" i="3"/>
  <c r="Y4" i="3"/>
  <c r="W28" i="3"/>
  <c r="AE24" i="3"/>
  <c r="AG22" i="3"/>
  <c r="Y27" i="3"/>
  <c r="AA25" i="3"/>
  <c r="AA31" i="3"/>
  <c r="Y37" i="3"/>
  <c r="Y39" i="3" s="1"/>
  <c r="Y36" i="3"/>
  <c r="S49" i="3"/>
  <c r="S52" i="3" s="1"/>
  <c r="S42" i="3"/>
  <c r="W15" i="3"/>
  <c r="Y13" i="3"/>
  <c r="U40" i="3"/>
  <c r="J661" i="2"/>
  <c r="I660" i="2"/>
  <c r="J244" i="2"/>
  <c r="I242" i="2"/>
  <c r="J85" i="2"/>
  <c r="I69" i="2"/>
  <c r="J69" i="2" s="1"/>
  <c r="I663" i="2"/>
  <c r="J663" i="2" s="1"/>
  <c r="J543" i="2"/>
  <c r="I543" i="2"/>
  <c r="J194" i="2"/>
  <c r="I193" i="2"/>
  <c r="J193" i="2" s="1"/>
  <c r="J635" i="2"/>
  <c r="J605" i="2"/>
  <c r="I598" i="2"/>
  <c r="J598" i="2" s="1"/>
  <c r="J214" i="1"/>
  <c r="I223" i="1"/>
  <c r="J223" i="1" s="1"/>
  <c r="J235" i="1"/>
  <c r="K223" i="1"/>
  <c r="U49" i="3" l="1"/>
  <c r="U52" i="3" s="1"/>
  <c r="U42" i="3"/>
  <c r="AA27" i="3"/>
  <c r="AC25" i="3"/>
  <c r="AA13" i="3"/>
  <c r="Y15" i="3"/>
  <c r="W40" i="3"/>
  <c r="W30" i="3"/>
  <c r="Y6" i="3"/>
  <c r="Y28" i="3"/>
  <c r="AC31" i="3"/>
  <c r="AA37" i="3"/>
  <c r="AA36" i="3"/>
  <c r="AI22" i="3"/>
  <c r="AG24" i="3"/>
  <c r="J660" i="2"/>
  <c r="I659" i="2"/>
  <c r="J242" i="2"/>
  <c r="I205" i="2"/>
  <c r="J205" i="2" s="1"/>
  <c r="AA39" i="3" l="1"/>
  <c r="AC27" i="3"/>
  <c r="AE25" i="3"/>
  <c r="AE31" i="3"/>
  <c r="AC36" i="3"/>
  <c r="AC37" i="3" s="1"/>
  <c r="W49" i="3"/>
  <c r="W52" i="3" s="1"/>
  <c r="W42" i="3"/>
  <c r="AI28" i="3"/>
  <c r="AI30" i="3" s="1"/>
  <c r="AK22" i="3"/>
  <c r="AI24" i="3"/>
  <c r="Y40" i="3"/>
  <c r="Y30" i="3"/>
  <c r="AA15" i="3"/>
  <c r="AC13" i="3"/>
  <c r="AA28" i="3"/>
  <c r="AA30" i="3" s="1"/>
  <c r="I657" i="2"/>
  <c r="J657" i="2" s="1"/>
  <c r="J659" i="2"/>
  <c r="Y49" i="3" l="1"/>
  <c r="Y52" i="3" s="1"/>
  <c r="Y42" i="3"/>
  <c r="AG25" i="3"/>
  <c r="AE27" i="3"/>
  <c r="AE28" i="3"/>
  <c r="AE30" i="3" s="1"/>
  <c r="AC15" i="3"/>
  <c r="AC28" i="3"/>
  <c r="AC30" i="3" s="1"/>
  <c r="AM22" i="3"/>
  <c r="AK28" i="3"/>
  <c r="AK30" i="3" s="1"/>
  <c r="AK24" i="3"/>
  <c r="AC39" i="3"/>
  <c r="AG31" i="3"/>
  <c r="AE36" i="3"/>
  <c r="AE37" i="3" s="1"/>
  <c r="AA40" i="3"/>
  <c r="AO22" i="3" l="1"/>
  <c r="AM28" i="3"/>
  <c r="AM30" i="3" s="1"/>
  <c r="AM24" i="3"/>
  <c r="AI31" i="3"/>
  <c r="AG37" i="3"/>
  <c r="AG36" i="3"/>
  <c r="AA49" i="3"/>
  <c r="AA52" i="3" s="1"/>
  <c r="AA42" i="3"/>
  <c r="AC40" i="3"/>
  <c r="AG27" i="3"/>
  <c r="AG28" i="3"/>
  <c r="AG30" i="3" s="1"/>
  <c r="AE39" i="3"/>
  <c r="AE40" i="3"/>
  <c r="AE49" i="3" l="1"/>
  <c r="AE52" i="3" s="1"/>
  <c r="AE42" i="3"/>
  <c r="AC49" i="3"/>
  <c r="AC52" i="3" s="1"/>
  <c r="AC42" i="3"/>
  <c r="AG40" i="3"/>
  <c r="AG39" i="3"/>
  <c r="AI37" i="3"/>
  <c r="AI36" i="3"/>
  <c r="AK31" i="3"/>
  <c r="AQ22" i="3"/>
  <c r="AO28" i="3"/>
  <c r="AO30" i="3" s="1"/>
  <c r="AO24" i="3"/>
  <c r="AI40" i="3" l="1"/>
  <c r="AI39" i="3"/>
  <c r="AS22" i="3"/>
  <c r="AQ28" i="3"/>
  <c r="AQ30" i="3" s="1"/>
  <c r="AQ24" i="3"/>
  <c r="AM31" i="3"/>
  <c r="AK37" i="3"/>
  <c r="AK36" i="3"/>
  <c r="AG49" i="3"/>
  <c r="AG52" i="3" s="1"/>
  <c r="AG42" i="3"/>
  <c r="AK40" i="3" l="1"/>
  <c r="AK39" i="3"/>
  <c r="AU22" i="3"/>
  <c r="AS28" i="3"/>
  <c r="AS30" i="3" s="1"/>
  <c r="AS24" i="3"/>
  <c r="AM37" i="3"/>
  <c r="AO31" i="3"/>
  <c r="AM36" i="3"/>
  <c r="AI49" i="3"/>
  <c r="AI52" i="3" s="1"/>
  <c r="AI42" i="3"/>
  <c r="AM39" i="3" l="1"/>
  <c r="AM40" i="3"/>
  <c r="AK49" i="3"/>
  <c r="AK52" i="3" s="1"/>
  <c r="AK42" i="3"/>
  <c r="AQ31" i="3"/>
  <c r="AO37" i="3"/>
  <c r="AO36" i="3"/>
  <c r="AU28" i="3"/>
  <c r="AU24" i="3"/>
  <c r="AW22" i="3"/>
  <c r="AY22" i="3" l="1"/>
  <c r="AW28" i="3"/>
  <c r="AW24" i="3"/>
  <c r="AO40" i="3"/>
  <c r="AO39" i="3"/>
  <c r="AU30" i="3"/>
  <c r="AU40" i="3"/>
  <c r="AM49" i="3"/>
  <c r="AM52" i="3" s="1"/>
  <c r="AM42" i="3"/>
  <c r="AS31" i="3"/>
  <c r="AS36" i="3" s="1"/>
  <c r="AS37" i="3" s="1"/>
  <c r="AQ36" i="3"/>
  <c r="AQ37" i="3" s="1"/>
  <c r="AW30" i="3" l="1"/>
  <c r="AW40" i="3"/>
  <c r="AY28" i="3"/>
  <c r="AY30" i="3" s="1"/>
  <c r="BA22" i="3"/>
  <c r="AY24" i="3"/>
  <c r="AO49" i="3"/>
  <c r="AO52" i="3" s="1"/>
  <c r="AO42" i="3"/>
  <c r="AS40" i="3"/>
  <c r="AS39" i="3"/>
  <c r="AQ40" i="3"/>
  <c r="AQ39" i="3"/>
  <c r="AU49" i="3"/>
  <c r="AU52" i="3" s="1"/>
  <c r="AU42" i="3"/>
  <c r="AQ49" i="3" l="1"/>
  <c r="AQ52" i="3" s="1"/>
  <c r="AQ42" i="3"/>
  <c r="AW49" i="3"/>
  <c r="AW52" i="3" s="1"/>
  <c r="AY40" i="3"/>
  <c r="AW42" i="3"/>
  <c r="AS49" i="3"/>
  <c r="AS52" i="3" s="1"/>
  <c r="AS42" i="3"/>
  <c r="BA28" i="3"/>
  <c r="BA24" i="3"/>
  <c r="BA30" i="3" l="1"/>
  <c r="BA40" i="3"/>
  <c r="BA49" i="3" s="1"/>
  <c r="AY49" i="3"/>
  <c r="AY52" i="3" s="1"/>
  <c r="AY42" i="3"/>
</calcChain>
</file>

<file path=xl/comments1.xml><?xml version="1.0" encoding="utf-8"?>
<comments xmlns="http://schemas.openxmlformats.org/spreadsheetml/2006/main">
  <authors>
    <author>mkachlicka</author>
  </authors>
  <commentList>
    <comment ref="N28" authorId="0">
      <text>
        <r>
          <rPr>
            <b/>
            <sz val="9"/>
            <color indexed="81"/>
            <rFont val="Tahoma"/>
            <family val="2"/>
            <charset val="238"/>
          </rPr>
          <t>mkachlicka: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<sst xmlns="http://schemas.openxmlformats.org/spreadsheetml/2006/main" count="2886" uniqueCount="1040">
  <si>
    <t>Załącznik nr 1 - materiały informacyjne
do projektu budżetu na 2019 rok</t>
  </si>
  <si>
    <t>Dział</t>
  </si>
  <si>
    <t>Rozdział</t>
  </si>
  <si>
    <t>Paragraf</t>
  </si>
  <si>
    <t>Treść</t>
  </si>
  <si>
    <t>Plan obowiązujący na dzień: 
30.09.2018 roku</t>
  </si>
  <si>
    <t>Wykonanie
 na dzień:
30-09-2018r.</t>
  </si>
  <si>
    <t>% wykonania</t>
  </si>
  <si>
    <t>Przewidywane wykonanie wydatków na koniec 2018 roku</t>
  </si>
  <si>
    <t>Plan 
na 2019 rok</t>
  </si>
  <si>
    <t>% wskaźnik
wzrostu/
spadku 
do planu 
2018 roku</t>
  </si>
  <si>
    <t>suma kontrolna</t>
  </si>
  <si>
    <t>Razem:
UM</t>
  </si>
  <si>
    <t>ORGAN</t>
  </si>
  <si>
    <t>WGNiOŚ</t>
  </si>
  <si>
    <t>WOiSO</t>
  </si>
  <si>
    <t>WF</t>
  </si>
  <si>
    <t>Straż Miejska</t>
  </si>
  <si>
    <t>GOPS</t>
  </si>
  <si>
    <t>Razem jednostki oświatowe</t>
  </si>
  <si>
    <t>SP nr 2</t>
  </si>
  <si>
    <t>SP nr 3</t>
  </si>
  <si>
    <t>Sp Budziszewko</t>
  </si>
  <si>
    <t>SP Gościejewo</t>
  </si>
  <si>
    <t>SP Parkowo</t>
  </si>
  <si>
    <t>SP Pruśce</t>
  </si>
  <si>
    <t>Przedszkole nr 1</t>
  </si>
  <si>
    <t>Przedszkole nr 2</t>
  </si>
  <si>
    <t>Przedszkole Parkowo</t>
  </si>
  <si>
    <t>CUW</t>
  </si>
  <si>
    <t>010</t>
  </si>
  <si>
    <t>Rolnictwo i łowiectwo</t>
  </si>
  <si>
    <t>01042</t>
  </si>
  <si>
    <t>Wyłączenie z produkcji gruntów rolnych</t>
  </si>
  <si>
    <t>2710</t>
  </si>
  <si>
    <t>Dotacja celowa otrzymana z tytułu pomocy finansowej udzielanej między jednostkami samorządu terytorialnego na dofinansowanie własnych zadań bieżących</t>
  </si>
  <si>
    <t>20 000,00</t>
  </si>
  <si>
    <t>6300</t>
  </si>
  <si>
    <t>Dotacja celowa otrzymana z tytułu pomocy finansowej udzielanej między jednostkami samorządu terytorialnego na dofinansowanie własnych zadań inwestycyjnych i zakupów inwestycyjnych</t>
  </si>
  <si>
    <t>0,00</t>
  </si>
  <si>
    <t>01095</t>
  </si>
  <si>
    <t>Pozostała działalność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</si>
  <si>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</si>
  <si>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</si>
  <si>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50 000,00</t>
  </si>
  <si>
    <t>0920</t>
  </si>
  <si>
    <t>Wpływy z pozostałych odsetek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</si>
  <si>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</si>
  <si>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</si>
  <si>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613 472,95</t>
  </si>
  <si>
    <t>020</t>
  </si>
  <si>
    <t>Leśnictwo</t>
  </si>
  <si>
    <t>02095</t>
  </si>
  <si>
    <t>Gospodarka leśna</t>
  </si>
  <si>
    <t>0870</t>
  </si>
  <si>
    <t>Wpływy ze sprzedaży składników majątkowych</t>
  </si>
  <si>
    <t>050</t>
  </si>
  <si>
    <t>Rybołówstwo i rybactwo</t>
  </si>
  <si>
    <t>05095</t>
  </si>
  <si>
    <t>0690</t>
  </si>
  <si>
    <t>Wpływy z różnych opłat</t>
  </si>
  <si>
    <t>25 000,00</t>
  </si>
  <si>
    <t>600</t>
  </si>
  <si>
    <t>Transport i łączność</t>
  </si>
  <si>
    <t>60013</t>
  </si>
  <si>
    <t>Drogi publiczne wojewódzkie</t>
  </si>
  <si>
    <t>2330</t>
  </si>
  <si>
    <t>Dotacje celowe otrzymane od samorządu województwa na zadania bieżące realizowane na podstawie porozumień (umów) między jednostkami samorządu terytorialnego</t>
  </si>
  <si>
    <t>10 000,00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</si>
  <si>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</si>
  <si>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</si>
  <si>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</si>
  <si>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</si>
  <si>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0570</t>
  </si>
  <si>
    <t>Wpływy z tytułu grzywien, mandatów i innych kar pieniężnych od osób fizycznych</t>
  </si>
  <si>
    <t>0640</t>
  </si>
  <si>
    <t>Wpływy z tytułu kosztów egzekucyjnych, opłaty komorniczej i kosztów upomnień</t>
  </si>
  <si>
    <t>0910</t>
  </si>
  <si>
    <t>Wpływy z odsetek od nieterminowych wpłat z tytułu podatków i opłat</t>
  </si>
  <si>
    <t>700</t>
  </si>
  <si>
    <t>Gospodarka mieszkaniowa</t>
  </si>
  <si>
    <t>70005</t>
  </si>
  <si>
    <t>Gospodarka gruntami i nieruchomościami</t>
  </si>
  <si>
    <t>0470</t>
  </si>
  <si>
    <t>Wpływy z opłat za trwały zarząd, użytkowanie i służebności</t>
  </si>
  <si>
    <t>40 000,00</t>
  </si>
  <si>
    <t>0550</t>
  </si>
  <si>
    <t>Wpływy z opłat z tytułu użytkowania wieczystego nieruchomości</t>
  </si>
  <si>
    <t>80 000,00</t>
  </si>
  <si>
    <t>0730</t>
  </si>
  <si>
    <t>Wpłaty z zysku przedsiębiorstw państwowych, jednoosobowych spółek Skarbu Państwa i spółek jednostek samorządu terytorialnego</t>
  </si>
  <si>
    <t>207 600,46</t>
  </si>
  <si>
    <t>334 500,00</t>
  </si>
  <si>
    <t>0760</t>
  </si>
  <si>
    <t>Wpływy z tytułu przekształcenia prawa użytkowania wieczystego przysługującego osobom fizycznym w prawo własności</t>
  </si>
  <si>
    <t>2 000,00</t>
  </si>
  <si>
    <t>0770</t>
  </si>
  <si>
    <t>Wpłaty z tytułu odpłatnego nabycia prawa własności oraz prawa użytkowania wieczystego nieruchomości</t>
  </si>
  <si>
    <t>1 000 000,00</t>
  </si>
  <si>
    <t>0830</t>
  </si>
  <si>
    <t>Wpływy z usług</t>
  </si>
  <si>
    <t>6290</t>
  </si>
  <si>
    <t>Środki na dofinansowanie własnych inwestycji gmin, powiatów (związków gmin, zwiazków powiatowo-gminnych, związków powiatów), samorządów województw, pozyskane z innych źródeł</t>
  </si>
  <si>
    <t>1 065 653,12</t>
  </si>
  <si>
    <t>750</t>
  </si>
  <si>
    <t>Administracja publiczna</t>
  </si>
  <si>
    <t>75011</t>
  </si>
  <si>
    <t>Urzędy wojewódzkie</t>
  </si>
  <si>
    <t>176 332,00</t>
  </si>
  <si>
    <t>2360</t>
  </si>
  <si>
    <t>Dochody jednostek samorządu terytorialnego związane z realizacją zadań z zakresu administracji rządowej oraz innych zadań zleconych ustawami</t>
  </si>
  <si>
    <t>75023</t>
  </si>
  <si>
    <t>Urzędy gmin (miast i miast na prawach powiatu)</t>
  </si>
  <si>
    <t>1 000,00</t>
  </si>
  <si>
    <t>0970</t>
  </si>
  <si>
    <t>Wpływy z różnych dochodów</t>
  </si>
  <si>
    <t>600,41</t>
  </si>
  <si>
    <t>75075</t>
  </si>
  <si>
    <t>Promocja jednostek samaorządu terytorialnego</t>
  </si>
  <si>
    <t>0840</t>
  </si>
  <si>
    <t>Wpływy ze sprzedaży wyrobów</t>
  </si>
  <si>
    <t>75085</t>
  </si>
  <si>
    <t>Wspólna obsługa jednostek samorządu terytorialnego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</si>
  <si>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</si>
  <si>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</si>
  <si>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</si>
  <si>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</si>
  <si>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3 500,00</t>
  </si>
  <si>
    <t>75109</t>
  </si>
  <si>
    <t>Wybory do rad gmin, rad powiatów i sejmików województw, wybory wójtów, burmistrzów i prezydentów miast oraz referenda gminne, powiatowe i wojewódzkie</t>
  </si>
  <si>
    <t>68 170,00</t>
  </si>
  <si>
    <t>754</t>
  </si>
  <si>
    <t>Bezpieczeństwo publiczne i ochrona przeciwpożarowa</t>
  </si>
  <si>
    <t>75412</t>
  </si>
  <si>
    <t>Ochotnicze straże pożarne</t>
  </si>
  <si>
    <t>2440</t>
  </si>
  <si>
    <t>Dotacje otrzymane z państwowych funduszy celowych na realizację zadań bieżących jednostek sektora finansów publicznych</t>
  </si>
  <si>
    <t>36 396,36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</si>
  <si>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</si>
  <si>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</si>
  <si>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</si>
  <si>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</si>
  <si>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0350</t>
  </si>
  <si>
    <t>Wpływy z podatku od działalności gospodarczej osób fizycznych, opłacanego w formie karty podatkowej</t>
  </si>
  <si>
    <t>60 000,00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</si>
  <si>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</si>
  <si>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</si>
  <si>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</si>
  <si>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Wpływy z podatku od nieruchomości</t>
  </si>
  <si>
    <t>6 063 600,00</t>
  </si>
  <si>
    <t>0320</t>
  </si>
  <si>
    <t>Wpływy z podatku rolnego</t>
  </si>
  <si>
    <t>85 525,00</t>
  </si>
  <si>
    <t>0330</t>
  </si>
  <si>
    <t>Wpływy z podatku leśnego</t>
  </si>
  <si>
    <t>164 257,00</t>
  </si>
  <si>
    <t>0340</t>
  </si>
  <si>
    <t>Wpływy z podatku od środków transportowych</t>
  </si>
  <si>
    <t>78 942,00</t>
  </si>
  <si>
    <t>0500</t>
  </si>
  <si>
    <t>Wpływy z podatku od czynności cywilnoprawnych</t>
  </si>
  <si>
    <t>6 000,00</t>
  </si>
  <si>
    <t>2 593,20</t>
  </si>
  <si>
    <t>2680</t>
  </si>
  <si>
    <t>Rekompensaty utraconych dochodów w podatkach i opłatach lokalnych</t>
  </si>
  <si>
    <t>280 000,00</t>
  </si>
  <si>
    <t>75616</t>
  </si>
  <si>
    <t>Wpływy z podatku rolnego, podatku leśnego, podatku od spadków i darowizn, podatku od czynności cywilno-prawnych oraz podatków i opłat lokalnych od osób fizycznych</t>
  </si>
  <si>
    <t>3 079 865,00</t>
  </si>
  <si>
    <t>678 900,00</t>
  </si>
  <si>
    <t>9 056,00</t>
  </si>
  <si>
    <t>369 937,00</t>
  </si>
  <si>
    <t>0360</t>
  </si>
  <si>
    <t>Wpływy z podatku od spadków i darowizn</t>
  </si>
  <si>
    <t>30 000,00</t>
  </si>
  <si>
    <t>0430</t>
  </si>
  <si>
    <t>Wpływy z opłaty targowej</t>
  </si>
  <si>
    <t>500 000,00</t>
  </si>
  <si>
    <t>11 000,00</t>
  </si>
  <si>
    <t>75618</t>
  </si>
  <si>
    <t>Wpływy z innych opłat stanowiących dochody jednostek samorządu terytorialnego na podstawie ustaw</t>
  </si>
  <si>
    <t>0410</t>
  </si>
  <si>
    <t>Wpływy z opłaty skarbowej</t>
  </si>
  <si>
    <t>0480</t>
  </si>
  <si>
    <t>Wpływy z opłat za zezwolenia na sprzedaż napojów alkoholowych</t>
  </si>
  <si>
    <t>343 000,00</t>
  </si>
  <si>
    <t>Wpływy z innych lokalnych opłat pobieranych pre jednostki samorządu terytorialnego</t>
  </si>
  <si>
    <t>75621</t>
  </si>
  <si>
    <t>Udziały gmin w podatkach stanowiących dochód budżetu państwa</t>
  </si>
  <si>
    <t>0010</t>
  </si>
  <si>
    <t>11 387 283,00</t>
  </si>
  <si>
    <t>0020</t>
  </si>
  <si>
    <t>Wpływy z podatku dochodowego od osób prawnych</t>
  </si>
  <si>
    <t>1 500 000,00</t>
  </si>
  <si>
    <t>758</t>
  </si>
  <si>
    <t>Różne rozliczenia</t>
  </si>
  <si>
    <t>75801</t>
  </si>
  <si>
    <t>Część oświatowa subwencji ogólnej dla jednostek samorządu terytorialnego</t>
  </si>
  <si>
    <t>2920</t>
  </si>
  <si>
    <t>Subwencje ogólne z budżetu państwa</t>
  </si>
  <si>
    <t>13 994 143,00</t>
  </si>
  <si>
    <t>75807</t>
  </si>
  <si>
    <t>Część wyrównawcza subwencji ogólnej dla gmin</t>
  </si>
  <si>
    <t>4 751 658,00</t>
  </si>
  <si>
    <t>75814</t>
  </si>
  <si>
    <t>Różne rozliczenia finansowe</t>
  </si>
  <si>
    <t>0580</t>
  </si>
  <si>
    <t>Wpływy z tytułu grzywien i innych kar pieniężnych od osób prawnych i innych jednostek organizacyjnych</t>
  </si>
  <si>
    <t>0620</t>
  </si>
  <si>
    <t>Wpływy z opłat za zezwolenia, akredytacje oraz opłaty ewidencyjne, w tym opłaty za częstotliwości</t>
  </si>
  <si>
    <t>55 000,00</t>
  </si>
  <si>
    <t>0940</t>
  </si>
  <si>
    <t>Wpływy z rozliczeń/zwrotów z lat ubiegłych</t>
  </si>
  <si>
    <t>8 558,83</t>
  </si>
  <si>
    <t>7 961,71</t>
  </si>
  <si>
    <t>2030</t>
  </si>
  <si>
    <t>Dotacje celowe otrzymane z budżetu państwa na realizację własnych zadań bieżących gmin (związków gmin, związków powiatowo-gminnych)</t>
  </si>
  <si>
    <t>82 548,56</t>
  </si>
  <si>
    <t>2990</t>
  </si>
  <si>
    <t>Wpłata środków finansowych z niewykorzystanych w terminie wydatków, które nie wygasają z upływem roku budżetowego</t>
  </si>
  <si>
    <t>57 998,10</t>
  </si>
  <si>
    <t>6330</t>
  </si>
  <si>
    <t>Dotacje celowe otrzymane z budżetu państwa na realizację inwestycji i zakupów inwestycyjnych własnych gmin (związków gmin, związków powiatowo-gminnych)</t>
  </si>
  <si>
    <t>8 200,95</t>
  </si>
  <si>
    <t>6680</t>
  </si>
  <si>
    <t>77 788,75</t>
  </si>
  <si>
    <t>75831</t>
  </si>
  <si>
    <t>Część równoważąca subwencji ogólnej dla gmin</t>
  </si>
  <si>
    <t>227 720,00</t>
  </si>
  <si>
    <t>801</t>
  </si>
  <si>
    <t>Oświata i wychowanie</t>
  </si>
  <si>
    <t>80101</t>
  </si>
  <si>
    <t>Szkoły podstawowe</t>
  </si>
  <si>
    <t>31 000,00</t>
  </si>
  <si>
    <t>776,81</t>
  </si>
  <si>
    <t>84 000,00</t>
  </si>
  <si>
    <t>6320</t>
  </si>
  <si>
    <t>Dotacje celowe otrzymane z budżetu państwa na inwestycje i zakupy inwestycyjne realizowane przez gminę na podstawie porozumień z organami administracji rządowej</t>
  </si>
  <si>
    <t>80103</t>
  </si>
  <si>
    <t>Oddziały przedszkolne w szkołach podstawowych</t>
  </si>
  <si>
    <t>80 830,00</t>
  </si>
  <si>
    <t>80104</t>
  </si>
  <si>
    <t xml:space="preserve">Przedszkola </t>
  </si>
  <si>
    <t>0660</t>
  </si>
  <si>
    <t>Wpływy z opłat za korzystanie z wychowania przedszkolnego</t>
  </si>
  <si>
    <t>110 800,00</t>
  </si>
  <si>
    <t>0670</t>
  </si>
  <si>
    <t>Wpływy z opłat za korzystanie z wyżywienia w jednostkach realizujących zadania z zakresu wychowania przedszkolnego</t>
  </si>
  <si>
    <t>422 290,00</t>
  </si>
  <si>
    <t>8 790,00</t>
  </si>
  <si>
    <t>482 240,00</t>
  </si>
  <si>
    <t>2310</t>
  </si>
  <si>
    <t>Dotacje celowe otrzymane z gminy na zadania bieżące realizowane na podstawie porozumień (umów) między jednostkami samorządu terytorialnego</t>
  </si>
  <si>
    <t>80148</t>
  </si>
  <si>
    <t>Stołówki szkolne i przedszkolne</t>
  </si>
  <si>
    <t>300 000,00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</si>
  <si>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</si>
  <si>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</si>
  <si>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</si>
  <si>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80153</t>
  </si>
  <si>
    <t>Zapewnienie uczniom prawa do bezpłatnego dostępu do podręczników, materiałów edukacyjnych lub materiałów ćwiczeniowych</t>
  </si>
  <si>
    <t>209 834,49</t>
  </si>
  <si>
    <t>80195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</si>
  <si>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</si>
  <si>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</si>
  <si>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151 741,00</t>
  </si>
  <si>
    <t>2009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</si>
  <si>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</si>
  <si>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</si>
  <si>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314 469,72</t>
  </si>
  <si>
    <t>2059</t>
  </si>
  <si>
    <t>50 546,32</t>
  </si>
  <si>
    <t>6257</t>
  </si>
  <si>
    <t>851</t>
  </si>
  <si>
    <t>Ochrona zdrowia</t>
  </si>
  <si>
    <t>85154</t>
  </si>
  <si>
    <t>Przeciwdziałanie alkoholizmowi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</si>
  <si>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</si>
  <si>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</si>
  <si>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852</t>
  </si>
  <si>
    <t>Pomoc społeczna</t>
  </si>
  <si>
    <t>85203</t>
  </si>
  <si>
    <t>Ośrodki wsparcia</t>
  </si>
  <si>
    <t>190 207,00</t>
  </si>
  <si>
    <t>6310</t>
  </si>
  <si>
    <t>Dotacje celowe otrzymane z budżetu państwa na inwestycje i zakupy inwestycyjne z zakresu administracji rządowej oraz innych zadań zleconych gminom ustawami</t>
  </si>
  <si>
    <t>1 013 010,00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</si>
  <si>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</si>
  <si>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</si>
  <si>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59 683,00</t>
  </si>
  <si>
    <t>50 918,00</t>
  </si>
  <si>
    <t>250,00</t>
  </si>
  <si>
    <t>85214</t>
  </si>
  <si>
    <t>Zasiłki okresowe, celowe i pomoc w naturze oraz składki na ubezpieczenia emerytalne i rentowe</t>
  </si>
  <si>
    <t>56 560,00</t>
  </si>
  <si>
    <t>85215</t>
  </si>
  <si>
    <t>Dodatki mieszkaniowe</t>
  </si>
  <si>
    <t>13 500,00</t>
  </si>
  <si>
    <t>85216</t>
  </si>
  <si>
    <t>Zasiłki stałe</t>
  </si>
  <si>
    <t>338 946,00</t>
  </si>
  <si>
    <t>700,00</t>
  </si>
  <si>
    <t>85219</t>
  </si>
  <si>
    <t>Ośrodki pomocy społecznej</t>
  </si>
  <si>
    <t>151 253,00</t>
  </si>
  <si>
    <t>85228</t>
  </si>
  <si>
    <t>Usługi opiekuńcze i specjalistyczne usługi opiekuńcze</t>
  </si>
  <si>
    <t>35 000,00</t>
  </si>
  <si>
    <t>427 000,00</t>
  </si>
  <si>
    <t>125,00</t>
  </si>
  <si>
    <t>85230</t>
  </si>
  <si>
    <t>Pomoc w zakresie dożywiania</t>
  </si>
  <si>
    <t>195 000,00</t>
  </si>
  <si>
    <t>853</t>
  </si>
  <si>
    <t>Pozostałe zadania w zakresie polityki społecznej</t>
  </si>
  <si>
    <t>85395</t>
  </si>
  <si>
    <t>618 263,13</t>
  </si>
  <si>
    <t>22 115,44</t>
  </si>
  <si>
    <t>854</t>
  </si>
  <si>
    <t>Edukacyjna opieka wychowawcza</t>
  </si>
  <si>
    <t>85415</t>
  </si>
  <si>
    <t>Pomoc materialna dla uczniów o charakterze socjalnym</t>
  </si>
  <si>
    <t>68 519,00</t>
  </si>
  <si>
    <t>855</t>
  </si>
  <si>
    <t>Rodzina</t>
  </si>
  <si>
    <t>85501</t>
  </si>
  <si>
    <t>Świadczenie wychowawcze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</si>
  <si>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</si>
  <si>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</si>
  <si>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Wplywy z pozostałych odsetek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</si>
  <si>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</si>
  <si>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</si>
  <si>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12 633 990,00</t>
  </si>
  <si>
    <t>85502</t>
  </si>
  <si>
    <t xml:space="preserve">Świadczenia rodzinne, świadczenie z funduszu alimentacyjnego oraz składki na ubezpieczenia emerytalne i rentowe z ubezpieczenia społecznego
</t>
  </si>
  <si>
    <t>5 000,00</t>
  </si>
  <si>
    <t>7 583 368,00</t>
  </si>
  <si>
    <t>62 000,00</t>
  </si>
  <si>
    <t>85503</t>
  </si>
  <si>
    <t>Karta Dużej Rodziny</t>
  </si>
  <si>
    <t>200,00</t>
  </si>
  <si>
    <t>85504</t>
  </si>
  <si>
    <t>Wspieranie rodziny</t>
  </si>
  <si>
    <t>930 000,00</t>
  </si>
  <si>
    <t>85513</t>
  </si>
  <si>
    <t>Składki na ubezpieczenie zdrowotne opłacane za osoby pobierające niektóre świadczenia świadczenia rodzinne, zgodnie z przepisami ustawy o świadczeniach rozdzinnych oraz za osoby pobierające zasiłki dla opiekunów, zgodnie z przepisami ustawy z dnia 4 kwietnia 2014 r. o ustaleniu i wypłacie zasiłków dla opiekunów</t>
  </si>
  <si>
    <t>900</t>
  </si>
  <si>
    <t>Gospodarka komunalna i ochrona środowiska</t>
  </si>
  <si>
    <t>90002</t>
  </si>
  <si>
    <t>Gospodarka odpadami</t>
  </si>
  <si>
    <t>2 459 836,49</t>
  </si>
  <si>
    <t>4 000,00</t>
  </si>
  <si>
    <t>90019</t>
  </si>
  <si>
    <t>Wpływy i wydatki związane z gromadzeniem środków z opłat i kar za korzystanie ze środowiska</t>
  </si>
  <si>
    <t>90095</t>
  </si>
  <si>
    <t>921</t>
  </si>
  <si>
    <t>Kultura i ochrona dziedzictwa narodowego</t>
  </si>
  <si>
    <t>92109</t>
  </si>
  <si>
    <t>Domy i ośrodki kultury, świetlice i kluby</t>
  </si>
  <si>
    <t>926</t>
  </si>
  <si>
    <t>Kultura fizyczna</t>
  </si>
  <si>
    <t>92601</t>
  </si>
  <si>
    <t>Obiekty sportowe</t>
  </si>
  <si>
    <t>49 900,00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</si>
  <si>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</si>
  <si>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</si>
  <si>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171 793,00</t>
  </si>
  <si>
    <t>6259</t>
  </si>
  <si>
    <t>92695</t>
  </si>
  <si>
    <t>Razem:</t>
  </si>
  <si>
    <t>z tego:</t>
  </si>
  <si>
    <t xml:space="preserve">Dochody bieżące </t>
  </si>
  <si>
    <t>w tym:</t>
  </si>
  <si>
    <t>1)</t>
  </si>
  <si>
    <t>udziały w PIT</t>
  </si>
  <si>
    <t>2)</t>
  </si>
  <si>
    <t>udziały w CIT</t>
  </si>
  <si>
    <t>3)</t>
  </si>
  <si>
    <t>podatki i opłaty</t>
  </si>
  <si>
    <t>a) podatek od nieruchomości</t>
  </si>
  <si>
    <t>4)</t>
  </si>
  <si>
    <t>subwencja ogólna</t>
  </si>
  <si>
    <t>5)</t>
  </si>
  <si>
    <t>dotacje i środki na cele bieżące</t>
  </si>
  <si>
    <t>6)</t>
  </si>
  <si>
    <t>pozostałe dochody</t>
  </si>
  <si>
    <t>Dochody majatkowe</t>
  </si>
  <si>
    <t>ze sprzedaży majątku</t>
  </si>
  <si>
    <t>dotacje i środki na inwestycje</t>
  </si>
  <si>
    <t>Razem : Wydziały UM</t>
  </si>
  <si>
    <t>WRGiP</t>
  </si>
  <si>
    <t>Fundusz Sołecki</t>
  </si>
  <si>
    <t>01008</t>
  </si>
  <si>
    <t>Melioracje wodne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</si>
  <si>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</si>
  <si>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</si>
  <si>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</si>
  <si>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</si>
  <si>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2850</t>
  </si>
  <si>
    <t>Wpłaty gmin na rzecz izb rolniczych w wysokości 2% uzyskanych wpływów z podatku rolnego</t>
  </si>
  <si>
    <t>17 000,00</t>
  </si>
  <si>
    <t>4010</t>
  </si>
  <si>
    <t>Wynagrodzenia osobowe pracowników</t>
  </si>
  <si>
    <t>5 819,50</t>
  </si>
  <si>
    <t>4110</t>
  </si>
  <si>
    <t>Składki na ubezpieczenia społeczne</t>
  </si>
  <si>
    <t>998,54</t>
  </si>
  <si>
    <t>4120</t>
  </si>
  <si>
    <t>Składki na Fundusz Pracy</t>
  </si>
  <si>
    <t>138,71</t>
  </si>
  <si>
    <t>4210</t>
  </si>
  <si>
    <t>Zakup materiałów i wyposażenia</t>
  </si>
  <si>
    <t>3 223,53</t>
  </si>
  <si>
    <t>4300</t>
  </si>
  <si>
    <t>Zakup usług pozostałych</t>
  </si>
  <si>
    <t>37 063,60</t>
  </si>
  <si>
    <t>4430</t>
  </si>
  <si>
    <t>Różne opłaty i składki</t>
  </si>
  <si>
    <t>601 444,07</t>
  </si>
  <si>
    <t>774,00</t>
  </si>
  <si>
    <t>4170</t>
  </si>
  <si>
    <t>Wynagrodzenia bezosobowe</t>
  </si>
  <si>
    <t>4 500,00</t>
  </si>
  <si>
    <t>17 246,00</t>
  </si>
  <si>
    <t>4260</t>
  </si>
  <si>
    <t>Zakup energii</t>
  </si>
  <si>
    <t>480,00</t>
  </si>
  <si>
    <t>60004</t>
  </si>
  <si>
    <t>Lokalny transport zbiorowy</t>
  </si>
  <si>
    <t>Dotacje celowe przekazane gminie na zadania bieżące realizowane na podstawie porozumień (umów) między jednostkami samorządu terytorialnego</t>
  </si>
  <si>
    <t>2820</t>
  </si>
  <si>
    <t>Dotacja celowa z budżetu na finansowanie lub dofinansowanie zadań zleconych do realizacji stowarzyszeniom</t>
  </si>
  <si>
    <t>83 800,00</t>
  </si>
  <si>
    <t>60014</t>
  </si>
  <si>
    <t>Drogi publiczne powiatowe</t>
  </si>
  <si>
    <t>Dotacja celowa na pomoc finansową udzielaną między jednostkami samorządu terytorialnego na dofinansowanie własnych zadań inwestycyjnych i zakupów inwestycyjnych</t>
  </si>
  <si>
    <t>308 476,00</t>
  </si>
  <si>
    <t>41 584,76</t>
  </si>
  <si>
    <t>4270</t>
  </si>
  <si>
    <t>Zakup usług remontowych</t>
  </si>
  <si>
    <t>172 000,00</t>
  </si>
  <si>
    <t>1 313 441,45</t>
  </si>
  <si>
    <t>37 000,00</t>
  </si>
  <si>
    <t>6050</t>
  </si>
  <si>
    <t>Wydatki inwestycyjne jednostek budżetowych</t>
  </si>
  <si>
    <t>3 400 700,00</t>
  </si>
  <si>
    <t>630</t>
  </si>
  <si>
    <t>Turystyka</t>
  </si>
  <si>
    <t>63095</t>
  </si>
  <si>
    <t>18 600,00</t>
  </si>
  <si>
    <t>27 500,00</t>
  </si>
  <si>
    <t>4360</t>
  </si>
  <si>
    <t>Opłaty z tytułu zakupu usług telekomunikacyjnych</t>
  </si>
  <si>
    <t>500,00</t>
  </si>
  <si>
    <t>6060</t>
  </si>
  <si>
    <t>Wydatki na zakupy inwestycyjne jednostek budżetowych</t>
  </si>
  <si>
    <t>70001</t>
  </si>
  <si>
    <t>Zakłady gospodarki mieszkaniowej</t>
  </si>
  <si>
    <t>2650</t>
  </si>
  <si>
    <t>Dotacja przedmiotowa z budżetu dla samorządowego zakładu budżetowego</t>
  </si>
  <si>
    <t>439 855,35</t>
  </si>
  <si>
    <t>5 600,00</t>
  </si>
  <si>
    <t>100 000,00</t>
  </si>
  <si>
    <t>19 400,00</t>
  </si>
  <si>
    <t>130 000,00</t>
  </si>
  <si>
    <t>1 500,00</t>
  </si>
  <si>
    <t>4500</t>
  </si>
  <si>
    <t>Pozostałe podatki na rzecz budżetów jednostek samorządu terytorialnego</t>
  </si>
  <si>
    <t>4510</t>
  </si>
  <si>
    <t>Opłaty na rzecz budżetu państwa</t>
  </si>
  <si>
    <t>120,00</t>
  </si>
  <si>
    <t>4520</t>
  </si>
  <si>
    <t>Opłaty na rzecz budżetów jednostek samorządu terytorialnego</t>
  </si>
  <si>
    <t>5 500,00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</si>
  <si>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</si>
  <si>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</si>
  <si>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</si>
  <si>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</si>
  <si>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</si>
  <si>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</si>
  <si>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</si>
  <si>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4 880,00</t>
  </si>
  <si>
    <t>2 753 455,50</t>
  </si>
  <si>
    <t>153 650,00</t>
  </si>
  <si>
    <t>710</t>
  </si>
  <si>
    <t>Działalność usługowa</t>
  </si>
  <si>
    <t>71004</t>
  </si>
  <si>
    <t>Plany zagospodarowania przestrzennego</t>
  </si>
  <si>
    <t>45 000,00</t>
  </si>
  <si>
    <t>71035</t>
  </si>
  <si>
    <t>Cmentarze</t>
  </si>
  <si>
    <t>3020</t>
  </si>
  <si>
    <t>Wydatki osobowe niezaliczone do wynagrodzeń</t>
  </si>
  <si>
    <t>1 200,00</t>
  </si>
  <si>
    <t>125 711,64</t>
  </si>
  <si>
    <t>4040</t>
  </si>
  <si>
    <t>Dodatkowe wynagrodzenie roczne</t>
  </si>
  <si>
    <t>7 663,58</t>
  </si>
  <si>
    <t>22 342,42</t>
  </si>
  <si>
    <t>2 608,36</t>
  </si>
  <si>
    <t>11 508,00</t>
  </si>
  <si>
    <t>5 298,00</t>
  </si>
  <si>
    <t>75022</t>
  </si>
  <si>
    <t>Rady gmin (miast i miast na prawach powiatu)</t>
  </si>
  <si>
    <t>3030</t>
  </si>
  <si>
    <t xml:space="preserve">Różne wydatki na rzecz osób fizycznych </t>
  </si>
  <si>
    <t>313 888,80</t>
  </si>
  <si>
    <t>4190</t>
  </si>
  <si>
    <t>Nagrody konkursowe</t>
  </si>
  <si>
    <t>9 000,00</t>
  </si>
  <si>
    <t>4420</t>
  </si>
  <si>
    <t>Podróże służbowe zagraniczne</t>
  </si>
  <si>
    <t>6 700,00</t>
  </si>
  <si>
    <t>2 780 596,84</t>
  </si>
  <si>
    <t>191 376,34</t>
  </si>
  <si>
    <t>450 079,88</t>
  </si>
  <si>
    <t>51 536,51</t>
  </si>
  <si>
    <t>4140</t>
  </si>
  <si>
    <t>Wpłaty na Państwowy Fundusz Rehabilitacji Osób Niepełnosprawnych</t>
  </si>
  <si>
    <t>17 695,00</t>
  </si>
  <si>
    <t>21 385,00</t>
  </si>
  <si>
    <t>129 900,70</t>
  </si>
  <si>
    <t>77 000,00</t>
  </si>
  <si>
    <t>63 600,00</t>
  </si>
  <si>
    <t>4280</t>
  </si>
  <si>
    <t>Zakup usług zdrowotnych</t>
  </si>
  <si>
    <t>12 300,00</t>
  </si>
  <si>
    <t>311 415,00</t>
  </si>
  <si>
    <t>4380</t>
  </si>
  <si>
    <t>Zakup usług obejmujacych tłumaczenia</t>
  </si>
  <si>
    <t>4390</t>
  </si>
  <si>
    <t>Zakup usług obejmujących wykonanie ekspertyz, analiz i opinii</t>
  </si>
  <si>
    <t>65 000,00</t>
  </si>
  <si>
    <t>4410</t>
  </si>
  <si>
    <t>Podróże służbowe krajowe</t>
  </si>
  <si>
    <t>38 000,00</t>
  </si>
  <si>
    <t>28 000,00</t>
  </si>
  <si>
    <t>4440</t>
  </si>
  <si>
    <t>Odpisy na zakładowy fundusz świadczeń socjalnych</t>
  </si>
  <si>
    <t>75 542,00</t>
  </si>
  <si>
    <t>4700</t>
  </si>
  <si>
    <t xml:space="preserve">Szkolenia pracowników niebędących członkami korpusu służby cywilnej </t>
  </si>
  <si>
    <t>70 000,00</t>
  </si>
  <si>
    <t>75053</t>
  </si>
  <si>
    <t>Wybory do rad gmin, rad powiatów i sejmików województw, wybory wójtów, burmistrzów i prezydentów miast  oraz referenda gminne, powiatowe i wojewódzkie</t>
  </si>
  <si>
    <t>20 384,43</t>
  </si>
  <si>
    <t>Promocja jednostek samorządu terytorialnego</t>
  </si>
  <si>
    <t>1 488,00</t>
  </si>
  <si>
    <t>16 152,00</t>
  </si>
  <si>
    <t>41 596,00</t>
  </si>
  <si>
    <t>117 605,69</t>
  </si>
  <si>
    <t>194,31</t>
  </si>
  <si>
    <t>1 350,00</t>
  </si>
  <si>
    <t>633 182,08</t>
  </si>
  <si>
    <t>42 486,92</t>
  </si>
  <si>
    <t>103 512,00</t>
  </si>
  <si>
    <t>14 754,00</t>
  </si>
  <si>
    <t>3 000,00</t>
  </si>
  <si>
    <t>27 000,00</t>
  </si>
  <si>
    <t>15 000,00</t>
  </si>
  <si>
    <t>2 800,00</t>
  </si>
  <si>
    <t>11 916,00</t>
  </si>
  <si>
    <t>75095</t>
  </si>
  <si>
    <t>111 384,00</t>
  </si>
  <si>
    <t>4100</t>
  </si>
  <si>
    <t>Wynagrodzenia agencyjno-prowizyjne</t>
  </si>
  <si>
    <t>99 020,00</t>
  </si>
  <si>
    <t>2 955,23</t>
  </si>
  <si>
    <t>508,00</t>
  </si>
  <si>
    <t>36,77</t>
  </si>
  <si>
    <t>3 449,00</t>
  </si>
  <si>
    <t>2 306,00</t>
  </si>
  <si>
    <t>245,00</t>
  </si>
  <si>
    <t>33 247,00</t>
  </si>
  <si>
    <t>17 423,00</t>
  </si>
  <si>
    <t>75411</t>
  </si>
  <si>
    <t>Komendy powiatowe Państwowej Straży Pożarnej</t>
  </si>
  <si>
    <t>2300</t>
  </si>
  <si>
    <t>Wpłaty jednostek na państwowy fundusz celowy</t>
  </si>
  <si>
    <t>9 300,00</t>
  </si>
  <si>
    <t>6170</t>
  </si>
  <si>
    <t>Wpłaty jednostek na państwowy fundusz celowy na finansowanie lub dofinansowanie zadań inwestycyjnych</t>
  </si>
  <si>
    <t>6 997,02</t>
  </si>
  <si>
    <t>919,34</t>
  </si>
  <si>
    <t>40 704,00</t>
  </si>
  <si>
    <t>930,00</t>
  </si>
  <si>
    <t>186 466,36</t>
  </si>
  <si>
    <t>22 900,00</t>
  </si>
  <si>
    <t>6230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</si>
  <si>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</si>
  <si>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</si>
  <si>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</si>
  <si>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4 600,00</t>
  </si>
  <si>
    <t>75415</t>
  </si>
  <si>
    <t>Zadania ratownictwa górskiego i wodnego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</si>
  <si>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</si>
  <si>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2 704,00</t>
  </si>
  <si>
    <t>388,00</t>
  </si>
  <si>
    <t>45 516,00</t>
  </si>
  <si>
    <t>12 392,00</t>
  </si>
  <si>
    <t>75416</t>
  </si>
  <si>
    <t>Straż gminna (miejska)</t>
  </si>
  <si>
    <t>9 830,00</t>
  </si>
  <si>
    <t>16 000,00</t>
  </si>
  <si>
    <t>757</t>
  </si>
  <si>
    <t>Obsługa długu publicznego</t>
  </si>
  <si>
    <t>75702</t>
  </si>
  <si>
    <t>Obsługa papierów wartościowych, kredytów i pożyczek jednostek samorządu terytorialnego</t>
  </si>
  <si>
    <t>8090</t>
  </si>
  <si>
    <t>8110</t>
  </si>
  <si>
    <t>Odsetki od samorządowych papierów wartościowych lub zaciągniętych przez jednostkę samorządu terytorialnego kredytów i pożyczek</t>
  </si>
  <si>
    <t>421 400,00</t>
  </si>
  <si>
    <t>2940</t>
  </si>
  <si>
    <t>Zwrot do budżetu państwa nienależnie pobranej subwencji ogólnej za lata poprzednie</t>
  </si>
  <si>
    <t>35 905,57</t>
  </si>
  <si>
    <t>5 259,71</t>
  </si>
  <si>
    <t>2 702,00</t>
  </si>
  <si>
    <t>75818</t>
  </si>
  <si>
    <t>Rezerwy ogólne i celowe</t>
  </si>
  <si>
    <t>4810</t>
  </si>
  <si>
    <t>Rezerwy</t>
  </si>
  <si>
    <t>225 744,00</t>
  </si>
  <si>
    <t>3 250,00</t>
  </si>
  <si>
    <t>369 274,46</t>
  </si>
  <si>
    <t>7 931 408,96</t>
  </si>
  <si>
    <t>551 450,75</t>
  </si>
  <si>
    <t>1 500 727,00</t>
  </si>
  <si>
    <t>209 753,00</t>
  </si>
  <si>
    <t>54 716,00</t>
  </si>
  <si>
    <t>399 450,00</t>
  </si>
  <si>
    <t>4240</t>
  </si>
  <si>
    <t>Zakup środków dydaktycznych i książek</t>
  </si>
  <si>
    <t>134 500,00</t>
  </si>
  <si>
    <t>405 000,00</t>
  </si>
  <si>
    <t>352 426,32</t>
  </si>
  <si>
    <t>23 000,00</t>
  </si>
  <si>
    <t>214 400,00</t>
  </si>
  <si>
    <t>4330</t>
  </si>
  <si>
    <t>Zakup usług przez jednostki samorządu terytorialnego od innych jednostek samorządu terytorialnego</t>
  </si>
  <si>
    <t>40 720,00</t>
  </si>
  <si>
    <t>11 600,00</t>
  </si>
  <si>
    <t>9 900,00</t>
  </si>
  <si>
    <t>401 098,00</t>
  </si>
  <si>
    <t>4480</t>
  </si>
  <si>
    <t>Podatek od nieruchomości</t>
  </si>
  <si>
    <t>125 000,00</t>
  </si>
  <si>
    <t>17 422,00</t>
  </si>
  <si>
    <t>506 076,66</t>
  </si>
  <si>
    <t>34 452,48</t>
  </si>
  <si>
    <t>91 616,00</t>
  </si>
  <si>
    <t>12 428,00</t>
  </si>
  <si>
    <t>26 600,00</t>
  </si>
  <si>
    <t>21 000,00</t>
  </si>
  <si>
    <t>800,00</t>
  </si>
  <si>
    <t>2 100,00</t>
  </si>
  <si>
    <t>3 400,00</t>
  </si>
  <si>
    <t>25 746,00</t>
  </si>
  <si>
    <t>2540</t>
  </si>
  <si>
    <t>Dotacja podmiotowa z budżetu dla niepublicznej jednostki systemu oświaty</t>
  </si>
  <si>
    <t>1 453 495,52</t>
  </si>
  <si>
    <t>90 821,00</t>
  </si>
  <si>
    <t>2 419 082,94</t>
  </si>
  <si>
    <t>176 154,06</t>
  </si>
  <si>
    <t>451 925,14</t>
  </si>
  <si>
    <t>63 209,00</t>
  </si>
  <si>
    <t>131 200,00</t>
  </si>
  <si>
    <t>4220</t>
  </si>
  <si>
    <t>Zakup środków żywności</t>
  </si>
  <si>
    <t>249 000,00</t>
  </si>
  <si>
    <t>36 850,00</t>
  </si>
  <si>
    <t>7 700,00</t>
  </si>
  <si>
    <t>82 000,00</t>
  </si>
  <si>
    <t>63 000,00</t>
  </si>
  <si>
    <t>6 100,00</t>
  </si>
  <si>
    <t>2 410,00</t>
  </si>
  <si>
    <t>127 286,00</t>
  </si>
  <si>
    <t>400,00</t>
  </si>
  <si>
    <t>80110</t>
  </si>
  <si>
    <t>Gimnazja</t>
  </si>
  <si>
    <t>2320</t>
  </si>
  <si>
    <t>Dotacje celowe przekazane dla powiatu na zadania bieżące realizowane na podstawie porozumień (umów) między jednostkami samorządu terytorialnego</t>
  </si>
  <si>
    <t>900 000,00</t>
  </si>
  <si>
    <t>415 865,00</t>
  </si>
  <si>
    <t>34 087,00</t>
  </si>
  <si>
    <t>1 102 512,00</t>
  </si>
  <si>
    <t>126 197,48</t>
  </si>
  <si>
    <t>212 016,00</t>
  </si>
  <si>
    <t>30 236,00</t>
  </si>
  <si>
    <t>129 800,00</t>
  </si>
  <si>
    <t>71 000,00</t>
  </si>
  <si>
    <t>2 500,00</t>
  </si>
  <si>
    <t>49 000,00</t>
  </si>
  <si>
    <t>6 500,00</t>
  </si>
  <si>
    <t>56 556,00</t>
  </si>
  <si>
    <t>80113</t>
  </si>
  <si>
    <t>Dowożenie uczniów do szkół</t>
  </si>
  <si>
    <t>1 002 520,00</t>
  </si>
  <si>
    <t>80146</t>
  </si>
  <si>
    <t>Dokształcanie i doskonalenie nauczycieli</t>
  </si>
  <si>
    <t>22 000,00</t>
  </si>
  <si>
    <t>78 839,00</t>
  </si>
  <si>
    <t>273 700,00</t>
  </si>
  <si>
    <t>19 045,67</t>
  </si>
  <si>
    <t>47 562,00</t>
  </si>
  <si>
    <t>6 762,00</t>
  </si>
  <si>
    <t>27 100,00</t>
  </si>
  <si>
    <t>7 250,00</t>
  </si>
  <si>
    <t>9 995,00</t>
  </si>
  <si>
    <t>12 000,00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</si>
  <si>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</si>
  <si>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</si>
  <si>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25 536,32</t>
  </si>
  <si>
    <t>4 483,00</t>
  </si>
  <si>
    <t>228 111,11</t>
  </si>
  <si>
    <t>10 795,89</t>
  </si>
  <si>
    <t>42 695,86</t>
  </si>
  <si>
    <t>8 065,16</t>
  </si>
  <si>
    <t>3 925,00</t>
  </si>
  <si>
    <t>2 966,00</t>
  </si>
  <si>
    <t>80150</t>
  </si>
  <si>
    <t>Realizacja zadań wymagających stosowania specjalnej organizacji nauki i metod pracy dla dzieci i młodzieży w szkołach podstawowych</t>
  </si>
  <si>
    <t>11 375,00</t>
  </si>
  <si>
    <t>379 323,00</t>
  </si>
  <si>
    <t>16 443,00</t>
  </si>
  <si>
    <t>61 011,00</t>
  </si>
  <si>
    <t>11 362,00</t>
  </si>
  <si>
    <t>9 100,00</t>
  </si>
  <si>
    <t>7 000,00</t>
  </si>
  <si>
    <t>11 871,00</t>
  </si>
  <si>
    <t>80152</t>
  </si>
  <si>
    <t>Realizacja zadań wymagających stosowania specjalnej organizacji nauki i 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 szkołach artystycznych</t>
  </si>
  <si>
    <t>100,00</t>
  </si>
  <si>
    <t>63 909,00</t>
  </si>
  <si>
    <t>1 600,00</t>
  </si>
  <si>
    <t>7 672,50</t>
  </si>
  <si>
    <t>2 077,54</t>
  </si>
  <si>
    <t>200 084,45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</si>
  <si>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</si>
  <si>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152 993,44</t>
  </si>
  <si>
    <t>29 724,56</t>
  </si>
  <si>
    <t>26 500,00</t>
  </si>
  <si>
    <t>Dotacja celowa na pomoc finansową udzielaną między jednostkami samorządu terytorialnego na dofinansowanie własnych zadań bieżących</t>
  </si>
  <si>
    <t>3247</t>
  </si>
  <si>
    <t>Stypendia dla uczniów</t>
  </si>
  <si>
    <t>30 310,60</t>
  </si>
  <si>
    <t>3249</t>
  </si>
  <si>
    <t>3 548,28</t>
  </si>
  <si>
    <t>4017</t>
  </si>
  <si>
    <t>284 925,59</t>
  </si>
  <si>
    <t>4019</t>
  </si>
  <si>
    <t>33 213,75</t>
  </si>
  <si>
    <t>983,00</t>
  </si>
  <si>
    <t>4117</t>
  </si>
  <si>
    <t>63 301,20</t>
  </si>
  <si>
    <t>4119</t>
  </si>
  <si>
    <t>7 379,00</t>
  </si>
  <si>
    <t>140,00</t>
  </si>
  <si>
    <t>4127</t>
  </si>
  <si>
    <t>9 258,43</t>
  </si>
  <si>
    <t>4129</t>
  </si>
  <si>
    <t>1 079,24</t>
  </si>
  <si>
    <t>5 720,00</t>
  </si>
  <si>
    <t>3 200,00</t>
  </si>
  <si>
    <t>4217</t>
  </si>
  <si>
    <t>36 719,60</t>
  </si>
  <si>
    <t>4219</t>
  </si>
  <si>
    <t>4 280,40</t>
  </si>
  <si>
    <t>4247</t>
  </si>
  <si>
    <t>339 265,19</t>
  </si>
  <si>
    <t>4249</t>
  </si>
  <si>
    <t>39 548,11</t>
  </si>
  <si>
    <t>29 280,00</t>
  </si>
  <si>
    <t>4307</t>
  </si>
  <si>
    <t>119 400,48</t>
  </si>
  <si>
    <t>4309</t>
  </si>
  <si>
    <t>13 913,30</t>
  </si>
  <si>
    <t>152 567,00</t>
  </si>
  <si>
    <t>85111</t>
  </si>
  <si>
    <t>Szpitale ogólne</t>
  </si>
  <si>
    <t>6220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</si>
  <si>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</si>
  <si>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</si>
  <si>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</si>
  <si>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2 240,00</t>
  </si>
  <si>
    <t>4 560,00</t>
  </si>
  <si>
    <t>48 000,00</t>
  </si>
  <si>
    <t>481,39</t>
  </si>
  <si>
    <t>145 939,00</t>
  </si>
  <si>
    <t>22 949,00</t>
  </si>
  <si>
    <t>116 493,00</t>
  </si>
  <si>
    <t>950,00</t>
  </si>
  <si>
    <t>85195</t>
  </si>
  <si>
    <t>1 050,00</t>
  </si>
  <si>
    <t>120 000,00</t>
  </si>
  <si>
    <t>85202</t>
  </si>
  <si>
    <t>Domy pomocy społecznej</t>
  </si>
  <si>
    <t>605 000,00</t>
  </si>
  <si>
    <t>1 710,00</t>
  </si>
  <si>
    <t>140 101,00</t>
  </si>
  <si>
    <t>19 151,00</t>
  </si>
  <si>
    <t>1 025 850,00</t>
  </si>
  <si>
    <t>85205</t>
  </si>
  <si>
    <t>Zadania w zakresie przeciwdziałania przemocy w rodzinie</t>
  </si>
  <si>
    <t>Zwrot dotacji oraz płatności wykorzystanych niezgodnie z przeznaczeniem lub wykorzystanych z naruszeniem procedur, o których mowa w art. 184 ustawy, pobranych nienależnie lub w nadmiernej wysokości</t>
  </si>
  <si>
    <t>4130</t>
  </si>
  <si>
    <t>Składki na ubezpieczenie zdrowotne</t>
  </si>
  <si>
    <t>112 601,00</t>
  </si>
  <si>
    <t>3110</t>
  </si>
  <si>
    <t>Świadczenia społeczne</t>
  </si>
  <si>
    <t>436 560,00</t>
  </si>
  <si>
    <t>383 235,29</t>
  </si>
  <si>
    <t>264,71</t>
  </si>
  <si>
    <t>373 946,00</t>
  </si>
  <si>
    <t>10 557,00</t>
  </si>
  <si>
    <t>824 374,75</t>
  </si>
  <si>
    <t>65 395,00</t>
  </si>
  <si>
    <t>156 955,61</t>
  </si>
  <si>
    <t>22 026,64</t>
  </si>
  <si>
    <t>33 000,00</t>
  </si>
  <si>
    <t>99 815,00</t>
  </si>
  <si>
    <t>20 400,00</t>
  </si>
  <si>
    <t>30 537,00</t>
  </si>
  <si>
    <t>8 000,00</t>
  </si>
  <si>
    <t>733 000,00</t>
  </si>
  <si>
    <t>325 000,00</t>
  </si>
  <si>
    <t>85232</t>
  </si>
  <si>
    <t>Centra integracji społecznej</t>
  </si>
  <si>
    <t>150 000,00</t>
  </si>
  <si>
    <t>85295</t>
  </si>
  <si>
    <t>3117</t>
  </si>
  <si>
    <t>174 817,23</t>
  </si>
  <si>
    <t>3119</t>
  </si>
  <si>
    <t>70 200,00</t>
  </si>
  <si>
    <t>102 878,21</t>
  </si>
  <si>
    <t>7 225,09</t>
  </si>
  <si>
    <t>23 899,81</t>
  </si>
  <si>
    <t>1 261,50</t>
  </si>
  <si>
    <t>3 364,66</t>
  </si>
  <si>
    <t>178,32</t>
  </si>
  <si>
    <t>4137</t>
  </si>
  <si>
    <t>8 751,96</t>
  </si>
  <si>
    <t>4177</t>
  </si>
  <si>
    <t>44 504,04</t>
  </si>
  <si>
    <t>9 041,98</t>
  </si>
  <si>
    <t>88,42</t>
  </si>
  <si>
    <t>4287</t>
  </si>
  <si>
    <t>290,00</t>
  </si>
  <si>
    <t>394 810,26</t>
  </si>
  <si>
    <t>17 174,40</t>
  </si>
  <si>
    <t>4417</t>
  </si>
  <si>
    <t>4 509,47</t>
  </si>
  <si>
    <t>4419</t>
  </si>
  <si>
    <t>530,53</t>
  </si>
  <si>
    <t>4437</t>
  </si>
  <si>
    <t>750,00</t>
  </si>
  <si>
    <t>85401</t>
  </si>
  <si>
    <t>Świetlice szkolne</t>
  </si>
  <si>
    <t>3 733,00</t>
  </si>
  <si>
    <t>640 800,00</t>
  </si>
  <si>
    <t>50 836,00</t>
  </si>
  <si>
    <t>116 990,00</t>
  </si>
  <si>
    <t>16 712,00</t>
  </si>
  <si>
    <t>14 600,00</t>
  </si>
  <si>
    <t>27 053,00</t>
  </si>
  <si>
    <t>3240</t>
  </si>
  <si>
    <t>128 519,00</t>
  </si>
  <si>
    <t>85416</t>
  </si>
  <si>
    <t>Pomoc materialna dla uczniów o charakterze motywacyjnym</t>
  </si>
  <si>
    <t>14 800,00</t>
  </si>
  <si>
    <t>12 428 599,00</t>
  </si>
  <si>
    <t>105 000,00</t>
  </si>
  <si>
    <t>7 600,00</t>
  </si>
  <si>
    <t>20 533,00</t>
  </si>
  <si>
    <t>2 888,00</t>
  </si>
  <si>
    <t>2 370,00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</si>
  <si>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</si>
  <si>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</si>
  <si>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7 106 912,00</t>
  </si>
  <si>
    <t>175 443,25</t>
  </si>
  <si>
    <t>9 200,00</t>
  </si>
  <si>
    <t>283 111,39</t>
  </si>
  <si>
    <t>4 646,36</t>
  </si>
  <si>
    <t>3 555,00</t>
  </si>
  <si>
    <t>166,79</t>
  </si>
  <si>
    <t>29,12</t>
  </si>
  <si>
    <t>4,09</t>
  </si>
  <si>
    <t>117 800,00</t>
  </si>
  <si>
    <t>6 550,00</t>
  </si>
  <si>
    <t>21 589,40</t>
  </si>
  <si>
    <t>3 008,00</t>
  </si>
  <si>
    <t>1 992,60</t>
  </si>
  <si>
    <t>4 740,00</t>
  </si>
  <si>
    <t>85508</t>
  </si>
  <si>
    <t>Rodziny zastępcze</t>
  </si>
  <si>
    <t>149 128,00</t>
  </si>
  <si>
    <t>85510</t>
  </si>
  <si>
    <t>Działalność placówek opiekuńczo-wychowawczych</t>
  </si>
  <si>
    <t>160 000,00</t>
  </si>
  <si>
    <t>90001</t>
  </si>
  <si>
    <t>Gospodarka ściekowa i ochrona wód</t>
  </si>
  <si>
    <t>Rózne opłaty i składki</t>
  </si>
  <si>
    <t>66 000,00</t>
  </si>
  <si>
    <t>159 381,51</t>
  </si>
  <si>
    <t>9 391,34</t>
  </si>
  <si>
    <t>25 602,88</t>
  </si>
  <si>
    <t>2 891,58</t>
  </si>
  <si>
    <t>29 000,00</t>
  </si>
  <si>
    <t>2 270 522,18</t>
  </si>
  <si>
    <t>5 039,00</t>
  </si>
  <si>
    <t>90003</t>
  </si>
  <si>
    <t>Oczyszczanie miast i wsi</t>
  </si>
  <si>
    <t>400 000,00</t>
  </si>
  <si>
    <t>90004</t>
  </si>
  <si>
    <t>Utrzymanie zieleni w miastach i gminach</t>
  </si>
  <si>
    <t>59 709,93</t>
  </si>
  <si>
    <t>170 182,00</t>
  </si>
  <si>
    <t>90005</t>
  </si>
  <si>
    <t>Ochrona powietrza atmosferycznego i klimatu</t>
  </si>
  <si>
    <t>87 000,00</t>
  </si>
  <si>
    <t>90013</t>
  </si>
  <si>
    <t>Schroniska dla zwierząt</t>
  </si>
  <si>
    <t>171,90</t>
  </si>
  <si>
    <t>24,50</t>
  </si>
  <si>
    <t>3 196,40</t>
  </si>
  <si>
    <t>35 607,20</t>
  </si>
  <si>
    <t>233 488,64</t>
  </si>
  <si>
    <t>90015</t>
  </si>
  <si>
    <t>Oświetlenie ulic, placów i dróg</t>
  </si>
  <si>
    <t>550 000,00</t>
  </si>
  <si>
    <t>355 000,00</t>
  </si>
  <si>
    <t>90026</t>
  </si>
  <si>
    <t>Pozostałe działania zwizane z gospodarką odpadami</t>
  </si>
  <si>
    <t>3 812,60</t>
  </si>
  <si>
    <t>543,39</t>
  </si>
  <si>
    <t>22 179,15</t>
  </si>
  <si>
    <t>167 000,00</t>
  </si>
  <si>
    <t>92105</t>
  </si>
  <si>
    <t>Pozostałe zadania w zakresie kultury</t>
  </si>
  <si>
    <t>8 400,00</t>
  </si>
  <si>
    <t>638,00</t>
  </si>
  <si>
    <t>4 708,00</t>
  </si>
  <si>
    <t>2480</t>
  </si>
  <si>
    <t>Dotacja podmiotowa z budżetu dla samorządowej instytucji kultury</t>
  </si>
  <si>
    <t>1 442 250,00</t>
  </si>
  <si>
    <t>8 090,00</t>
  </si>
  <si>
    <t>63 314,24</t>
  </si>
  <si>
    <t>33 500,00</t>
  </si>
  <si>
    <t>42 178,56</t>
  </si>
  <si>
    <t>1 329,00</t>
  </si>
  <si>
    <t>18 858,83</t>
  </si>
  <si>
    <t>92116</t>
  </si>
  <si>
    <t>Biblioteki</t>
  </si>
  <si>
    <t>412 115,00</t>
  </si>
  <si>
    <t>669,20</t>
  </si>
  <si>
    <t>92118</t>
  </si>
  <si>
    <t>Muzea</t>
  </si>
  <si>
    <t>556 330,00</t>
  </si>
  <si>
    <t>309 000,00</t>
  </si>
  <si>
    <t>6057</t>
  </si>
  <si>
    <t>6 827 100,00</t>
  </si>
  <si>
    <t>6059</t>
  </si>
  <si>
    <t>1 204 791,94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</si>
  <si>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</si>
  <si>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</si>
  <si>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</si>
  <si>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</si>
  <si>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92127</t>
  </si>
  <si>
    <t>Działalność dotycząca miejsc pamięci narodowej oraz ochrony pamięci walk i męczeństwa</t>
  </si>
  <si>
    <t>474,00</t>
  </si>
  <si>
    <t>2 640,00</t>
  </si>
  <si>
    <t>92195</t>
  </si>
  <si>
    <t>1 300,00</t>
  </si>
  <si>
    <t>46 222,42</t>
  </si>
  <si>
    <t>32 300,00</t>
  </si>
  <si>
    <t>10 314,00</t>
  </si>
  <si>
    <t>1 470,00</t>
  </si>
  <si>
    <t>143 700,00</t>
  </si>
  <si>
    <t>165 111,59</t>
  </si>
  <si>
    <t>6058</t>
  </si>
  <si>
    <t>255 000,00</t>
  </si>
  <si>
    <t>262 133,61</t>
  </si>
  <si>
    <t>170 000,00</t>
  </si>
  <si>
    <t>31 800,00</t>
  </si>
  <si>
    <t>79 092,64</t>
  </si>
  <si>
    <t>38 500,00</t>
  </si>
  <si>
    <t>8 500,00</t>
  </si>
  <si>
    <t>Wydatki bieążace</t>
  </si>
  <si>
    <t>Wydatki jednostek budżetowych</t>
  </si>
  <si>
    <t>a) wynagrodzenia i skladki od nich 
    naliczone</t>
  </si>
  <si>
    <t>b) wydatki związane z realizacją
    statutowych zadań</t>
  </si>
  <si>
    <t>Dotacje na zadania bieżace</t>
  </si>
  <si>
    <t>Świadczenia na rzecz osób fizycznych</t>
  </si>
  <si>
    <t>Obsługa długu - odsetki od kredytów i pożyczek</t>
  </si>
  <si>
    <t>Wydatki na programy finansowane z udziałem środków, o których mowa z art.. 5 ust. 1 pkt 2 i 3 w części związanej z realizacją zadań gminy</t>
  </si>
  <si>
    <t>c) dotacje na zadania bieżące</t>
  </si>
  <si>
    <t>d) świadczenia na rzecz osób fizycznych</t>
  </si>
  <si>
    <t>Wydatki majątkowe</t>
  </si>
  <si>
    <t>wydatki majątkowe w formie dotacji celowej</t>
  </si>
  <si>
    <t>pozostałe wydatki majątkowe</t>
  </si>
  <si>
    <t>Prognoza długu na lata 2019-2037 Gminy Rogoźno
Załącznik nr 3 - materiały informacyjne do projektu budżetu 2019 roku</t>
  </si>
  <si>
    <t>A.</t>
  </si>
  <si>
    <t>Zobowiązanie
zaciągnięte</t>
  </si>
  <si>
    <t>Stan zadłużenia na dzień 31.12.2014r.</t>
  </si>
  <si>
    <t>Stan zadłużenia na dzień 31.12.2016r.</t>
  </si>
  <si>
    <t>Stan zadłużenia na dzień 31.12.2018r.</t>
  </si>
  <si>
    <t>Do spłaty</t>
  </si>
  <si>
    <t>Stan zadłużenia na 31.12.</t>
  </si>
  <si>
    <t>Przychody</t>
  </si>
  <si>
    <t>Bank Pocztowy S.A.  Bydgoszcz</t>
  </si>
  <si>
    <t>K</t>
  </si>
  <si>
    <t>O</t>
  </si>
  <si>
    <t>R</t>
  </si>
  <si>
    <t>BS Czarnków</t>
  </si>
  <si>
    <t xml:space="preserve">ING Bank Śląski w Poznaniu
</t>
  </si>
  <si>
    <t>WFOŚ i GW w Poznaniu</t>
  </si>
  <si>
    <t>BGK Rejon Poznań</t>
  </si>
  <si>
    <t>(pożyczka)</t>
  </si>
  <si>
    <t>BGK Rejn Poznań</t>
  </si>
  <si>
    <t>(kredyt)</t>
  </si>
  <si>
    <t>RAZEM: A</t>
  </si>
  <si>
    <t>Wnioskowane
zobowiązanie - emisja obligacji</t>
  </si>
  <si>
    <t xml:space="preserve"> RAZEM: Wnioskowane 
zobowiązanie
(B1+B2+B3)</t>
  </si>
  <si>
    <t>OGÓŁEM: A+B</t>
  </si>
  <si>
    <t>C.</t>
  </si>
  <si>
    <t>W</t>
  </si>
  <si>
    <t>D.</t>
  </si>
  <si>
    <t>Poręczenia i gwarancje</t>
  </si>
  <si>
    <t>E.</t>
  </si>
  <si>
    <t>Zobowiązania krótkoterminowe</t>
  </si>
  <si>
    <t>OGÓŁEM: A+B+C+D+E</t>
  </si>
  <si>
    <t>Kwota długu, którego planowana spłata dokona się 
z wydatków budżetu</t>
  </si>
  <si>
    <t>Plan i wykonanie dochodów budźetu Gminy Rogoźno za 2018 rok - stan na dzień 30.09.2018 roku w porówaniu z projektem planu dochodów na 2019 rok (wskaźnik procentowy) oraz przewidywane wykonanie dochodów na koniec 2018 roku</t>
  </si>
  <si>
    <t>Wpłaty na państwowy fundusz celowy</t>
  </si>
  <si>
    <t>wpływy z tytułu przekszałcenia prawa użytkowania wieczystego przysługującego osobom fizycznym w prawo własności</t>
  </si>
  <si>
    <t>wpływy środków finansowych z niewykorzystanych w terminie wydatków, które nie wygasają z upływem roku budżetowego</t>
  </si>
  <si>
    <t>Załącznik nr 2 - materiały informacyjne
do projektu budżetu na 2019 rok</t>
  </si>
  <si>
    <t>Plan i wykonanie wydatków budżetu Gminy Rogoźno za 2018 rok - stan na 30.09.2018 roku w porównaniu z projektem wydatków  na 2019 rok (wskażnik procentowy) oraz przewidywane wykonanie wydatków na koniec 2018 roku</t>
  </si>
  <si>
    <t>Zakupy inwestycyjne</t>
  </si>
  <si>
    <t>a) wydatki na programy finansowane z udziałem środków, o których mowa z art. 5 ust. 1 pkt 2 i 3 w części związanej z realizacją zadań gminy</t>
  </si>
  <si>
    <t>Koszty emisji samorządowych papierów wartościowych oraz inne opłaty i prowizje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</si>
</sst>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8.5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5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9"/>
      <color rgb="FF0070C0"/>
      <name val="Arial"/>
      <family val="2"/>
      <charset val="238"/>
    </font>
    <font>
      <i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8"/>
      <color rgb="FFFF0000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rgb="FF99FF33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rgb="FF99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33"/>
        <bgColor indexed="0"/>
      </patternFill>
    </fill>
    <fill>
      <patternFill patternType="solid">
        <fgColor indexed="13"/>
        <bgColor indexed="34"/>
      </patternFill>
    </fill>
    <fill>
      <patternFill patternType="solid">
        <fgColor indexed="11"/>
        <bgColor indexed="0"/>
      </patternFill>
    </fill>
  </fills>
  <borders count="18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medium">
        <color auto="1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medium">
        <color auto="1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auto="1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auto="1"/>
      </right>
      <top style="medium">
        <color indexed="8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19" fillId="11" borderId="0" applyNumberFormat="0" applyBorder="0" applyAlignment="0" applyProtection="0"/>
    <xf numFmtId="0" fontId="19" fillId="0" borderId="0"/>
    <xf numFmtId="0" fontId="20" fillId="0" borderId="0"/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19" fillId="0" borderId="0"/>
    <xf numFmtId="0" fontId="19" fillId="0" borderId="0"/>
    <xf numFmtId="0" fontId="2" fillId="0" borderId="0" applyNumberFormat="0" applyFill="0" applyBorder="0" applyAlignment="0" applyProtection="0">
      <alignment vertical="top"/>
    </xf>
    <xf numFmtId="0" fontId="1" fillId="0" borderId="0"/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1" fillId="0" borderId="0"/>
    <xf numFmtId="0" fontId="19" fillId="0" borderId="0"/>
  </cellStyleXfs>
  <cellXfs count="1034">
    <xf numFmtId="0" fontId="0" fillId="0" borderId="0" xfId="0"/>
    <xf numFmtId="0" fontId="4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NumberFormat="1" applyFont="1" applyFill="1" applyBorder="1" applyAlignment="1" applyProtection="1">
      <alignment vertical="top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NumberFormat="1" applyFont="1" applyFill="1" applyBorder="1" applyAlignment="1" applyProtection="1">
      <alignment horizontal="center" vertical="top" wrapText="1"/>
      <protection locked="0"/>
    </xf>
    <xf numFmtId="0" fontId="7" fillId="0" borderId="3" xfId="1" applyNumberFormat="1" applyFont="1" applyFill="1" applyBorder="1" applyAlignment="1" applyProtection="1">
      <alignment horizontal="center" vertical="top" wrapText="1"/>
      <protection locked="0"/>
    </xf>
    <xf numFmtId="0" fontId="4" fillId="0" borderId="3" xfId="2" applyNumberFormat="1" applyFont="1" applyFill="1" applyBorder="1" applyAlignment="1" applyProtection="1">
      <alignment horizontal="left" vertical="top" wrapText="1"/>
      <protection locked="0"/>
    </xf>
    <xf numFmtId="0" fontId="7" fillId="0" borderId="3" xfId="2" applyNumberFormat="1" applyFont="1" applyFill="1" applyBorder="1" applyAlignment="1" applyProtection="1">
      <alignment horizontal="left" vertical="top" wrapText="1"/>
      <protection locked="0"/>
    </xf>
    <xf numFmtId="49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3" borderId="1" xfId="1" applyNumberFormat="1" applyFont="1" applyFill="1" applyBorder="1" applyAlignment="1" applyProtection="1">
      <alignment horizontal="left" vertical="center" wrapText="1"/>
      <protection locked="0"/>
    </xf>
    <xf numFmtId="4" fontId="9" fillId="3" borderId="2" xfId="1" applyNumberFormat="1" applyFont="1" applyFill="1" applyBorder="1" applyAlignment="1" applyProtection="1">
      <alignment horizontal="right" vertical="center" wrapText="1"/>
      <protection locked="0"/>
    </xf>
    <xf numFmtId="10" fontId="9" fillId="3" borderId="2" xfId="1" applyNumberFormat="1" applyFont="1" applyFill="1" applyBorder="1" applyAlignment="1" applyProtection="1">
      <alignment horizontal="right" vertical="center" wrapText="1"/>
      <protection locked="0"/>
    </xf>
    <xf numFmtId="4" fontId="9" fillId="3" borderId="7" xfId="1" applyNumberFormat="1" applyFont="1" applyFill="1" applyBorder="1" applyAlignment="1" applyProtection="1">
      <alignment horizontal="right" vertical="center" wrapText="1"/>
      <protection locked="0"/>
    </xf>
    <xf numFmtId="4" fontId="9" fillId="3" borderId="9" xfId="1" applyNumberFormat="1" applyFont="1" applyFill="1" applyBorder="1" applyAlignment="1" applyProtection="1">
      <alignment horizontal="right" vertical="center" wrapText="1"/>
      <protection locked="0"/>
    </xf>
    <xf numFmtId="49" fontId="11" fillId="4" borderId="1" xfId="1" applyNumberFormat="1" applyFont="1" applyFill="1" applyBorder="1" applyAlignment="1" applyProtection="1">
      <alignment horizontal="center" vertical="center" wrapText="1"/>
      <protection locked="0"/>
    </xf>
    <xf numFmtId="49" fontId="10" fillId="4" borderId="1" xfId="1" applyNumberFormat="1" applyFont="1" applyFill="1" applyBorder="1" applyAlignment="1" applyProtection="1">
      <alignment horizontal="center" vertical="center" wrapText="1"/>
      <protection locked="0"/>
    </xf>
    <xf numFmtId="49" fontId="11" fillId="4" borderId="1" xfId="1" applyNumberFormat="1" applyFont="1" applyFill="1" applyBorder="1" applyAlignment="1" applyProtection="1">
      <alignment horizontal="left" vertical="center" wrapText="1"/>
      <protection locked="0"/>
    </xf>
    <xf numFmtId="4" fontId="12" fillId="4" borderId="2" xfId="1" applyNumberFormat="1" applyFont="1" applyFill="1" applyBorder="1" applyAlignment="1" applyProtection="1">
      <alignment horizontal="right" vertical="center" wrapText="1"/>
      <protection locked="0"/>
    </xf>
    <xf numFmtId="10" fontId="12" fillId="4" borderId="2" xfId="1" applyNumberFormat="1" applyFont="1" applyFill="1" applyBorder="1" applyAlignment="1" applyProtection="1">
      <alignment horizontal="right" vertical="center" wrapText="1"/>
      <protection locked="0"/>
    </xf>
    <xf numFmtId="4" fontId="12" fillId="4" borderId="7" xfId="1" applyNumberFormat="1" applyFont="1" applyFill="1" applyBorder="1" applyAlignment="1" applyProtection="1">
      <alignment horizontal="right" vertical="center" wrapText="1"/>
      <protection locked="0"/>
    </xf>
    <xf numFmtId="4" fontId="12" fillId="4" borderId="9" xfId="1" applyNumberFormat="1" applyFont="1" applyFill="1" applyBorder="1" applyAlignment="1" applyProtection="1">
      <alignment horizontal="right" vertical="center" wrapText="1"/>
      <protection locked="0"/>
    </xf>
    <xf numFmtId="49" fontId="11" fillId="2" borderId="10" xfId="1" applyNumberFormat="1" applyFont="1" applyFill="1" applyBorder="1" applyAlignment="1" applyProtection="1">
      <alignment horizontal="center" vertical="center" wrapText="1"/>
      <protection locked="0"/>
    </xf>
    <xf numFmtId="49" fontId="11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11" fillId="2" borderId="1" xfId="1" applyNumberFormat="1" applyFont="1" applyFill="1" applyBorder="1" applyAlignment="1" applyProtection="1">
      <alignment horizontal="left" vertical="center" wrapText="1"/>
      <protection locked="0"/>
    </xf>
    <xf numFmtId="4" fontId="12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12" fillId="0" borderId="3" xfId="1" applyNumberFormat="1" applyFont="1" applyFill="1" applyBorder="1" applyAlignment="1" applyProtection="1">
      <alignment horizontal="right" vertical="center"/>
      <protection locked="0"/>
    </xf>
    <xf numFmtId="10" fontId="12" fillId="5" borderId="2" xfId="1" applyNumberFormat="1" applyFont="1" applyFill="1" applyBorder="1" applyAlignment="1" applyProtection="1">
      <alignment horizontal="right" vertical="center" wrapText="1"/>
      <protection locked="0"/>
    </xf>
    <xf numFmtId="4" fontId="12" fillId="0" borderId="4" xfId="1" applyNumberFormat="1" applyFont="1" applyFill="1" applyBorder="1" applyAlignment="1" applyProtection="1">
      <alignment horizontal="right" vertical="center"/>
      <protection locked="0"/>
    </xf>
    <xf numFmtId="4" fontId="12" fillId="0" borderId="5" xfId="1" applyNumberFormat="1" applyFont="1" applyFill="1" applyBorder="1" applyAlignment="1" applyProtection="1">
      <alignment horizontal="right" vertical="center"/>
      <protection locked="0"/>
    </xf>
    <xf numFmtId="10" fontId="12" fillId="0" borderId="6" xfId="1" applyNumberFormat="1" applyFont="1" applyFill="1" applyBorder="1" applyAlignment="1" applyProtection="1">
      <alignment horizontal="right" vertical="center"/>
      <protection locked="0"/>
    </xf>
    <xf numFmtId="4" fontId="2" fillId="0" borderId="0" xfId="1" applyNumberFormat="1" applyFont="1" applyFill="1" applyBorder="1" applyAlignment="1" applyProtection="1">
      <alignment horizontal="right" vertical="center"/>
      <protection locked="0"/>
    </xf>
    <xf numFmtId="4" fontId="2" fillId="0" borderId="3" xfId="1" applyNumberFormat="1" applyFont="1" applyFill="1" applyBorder="1" applyAlignment="1" applyProtection="1">
      <alignment horizontal="right" vertical="center"/>
      <protection locked="0"/>
    </xf>
    <xf numFmtId="10" fontId="12" fillId="6" borderId="6" xfId="1" applyNumberFormat="1" applyFont="1" applyFill="1" applyBorder="1" applyAlignment="1" applyProtection="1">
      <alignment horizontal="right" vertical="center"/>
      <protection locked="0"/>
    </xf>
    <xf numFmtId="4" fontId="12" fillId="4" borderId="8" xfId="1" applyNumberFormat="1" applyFont="1" applyFill="1" applyBorder="1" applyAlignment="1" applyProtection="1">
      <alignment horizontal="right" vertical="center" wrapText="1"/>
      <protection locked="0"/>
    </xf>
    <xf numFmtId="49" fontId="11" fillId="2" borderId="1" xfId="1" quotePrefix="1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1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1" applyNumberFormat="1" applyFont="1" applyFill="1" applyBorder="1" applyAlignment="1" applyProtection="1">
      <alignment horizontal="left" vertical="center" wrapText="1"/>
      <protection locked="0"/>
    </xf>
    <xf numFmtId="4" fontId="12" fillId="2" borderId="12" xfId="1" applyNumberFormat="1" applyFont="1" applyFill="1" applyBorder="1" applyAlignment="1" applyProtection="1">
      <alignment horizontal="right" vertical="center" wrapText="1"/>
      <protection locked="0"/>
    </xf>
    <xf numFmtId="4" fontId="12" fillId="0" borderId="13" xfId="1" applyNumberFormat="1" applyFont="1" applyFill="1" applyBorder="1" applyAlignment="1" applyProtection="1">
      <alignment horizontal="right" vertical="center"/>
      <protection locked="0"/>
    </xf>
    <xf numFmtId="10" fontId="12" fillId="5" borderId="12" xfId="1" applyNumberFormat="1" applyFont="1" applyFill="1" applyBorder="1" applyAlignment="1" applyProtection="1">
      <alignment horizontal="right" vertical="center" wrapText="1"/>
      <protection locked="0"/>
    </xf>
    <xf numFmtId="4" fontId="12" fillId="0" borderId="14" xfId="1" applyNumberFormat="1" applyFont="1" applyFill="1" applyBorder="1" applyAlignment="1" applyProtection="1">
      <alignment horizontal="right" vertical="center"/>
      <protection locked="0"/>
    </xf>
    <xf numFmtId="4" fontId="12" fillId="0" borderId="15" xfId="1" applyNumberFormat="1" applyFont="1" applyFill="1" applyBorder="1" applyAlignment="1" applyProtection="1">
      <alignment horizontal="right" vertical="center"/>
      <protection locked="0"/>
    </xf>
    <xf numFmtId="10" fontId="12" fillId="0" borderId="16" xfId="1" applyNumberFormat="1" applyFont="1" applyFill="1" applyBorder="1" applyAlignment="1" applyProtection="1">
      <alignment horizontal="right" vertical="center"/>
      <protection locked="0"/>
    </xf>
    <xf numFmtId="49" fontId="8" fillId="3" borderId="3" xfId="1" quotePrefix="1" applyNumberFormat="1" applyFont="1" applyFill="1" applyBorder="1" applyAlignment="1" applyProtection="1">
      <alignment horizontal="center" vertical="center" wrapText="1"/>
      <protection locked="0"/>
    </xf>
    <xf numFmtId="49" fontId="8" fillId="3" borderId="3" xfId="1" applyNumberFormat="1" applyFont="1" applyFill="1" applyBorder="1" applyAlignment="1" applyProtection="1">
      <alignment horizontal="center" vertical="center" wrapText="1"/>
      <protection locked="0"/>
    </xf>
    <xf numFmtId="49" fontId="8" fillId="3" borderId="3" xfId="1" applyNumberFormat="1" applyFont="1" applyFill="1" applyBorder="1" applyAlignment="1" applyProtection="1">
      <alignment horizontal="left" vertical="center" wrapText="1"/>
      <protection locked="0"/>
    </xf>
    <xf numFmtId="4" fontId="9" fillId="3" borderId="3" xfId="1" applyNumberFormat="1" applyFont="1" applyFill="1" applyBorder="1" applyAlignment="1" applyProtection="1">
      <alignment horizontal="right" vertical="center" wrapText="1"/>
      <protection locked="0"/>
    </xf>
    <xf numFmtId="10" fontId="9" fillId="3" borderId="3" xfId="1" applyNumberFormat="1" applyFont="1" applyFill="1" applyBorder="1" applyAlignment="1" applyProtection="1">
      <alignment horizontal="right" vertical="center" wrapText="1"/>
      <protection locked="0"/>
    </xf>
    <xf numFmtId="4" fontId="9" fillId="3" borderId="4" xfId="1" applyNumberFormat="1" applyFont="1" applyFill="1" applyBorder="1" applyAlignment="1" applyProtection="1">
      <alignment horizontal="right" vertical="center" wrapText="1"/>
      <protection locked="0"/>
    </xf>
    <xf numFmtId="4" fontId="9" fillId="3" borderId="5" xfId="1" applyNumberFormat="1" applyFont="1" applyFill="1" applyBorder="1" applyAlignment="1" applyProtection="1">
      <alignment horizontal="right" vertical="center" wrapText="1"/>
      <protection locked="0"/>
    </xf>
    <xf numFmtId="10" fontId="9" fillId="3" borderId="6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NumberFormat="1" applyFont="1" applyFill="1" applyBorder="1" applyAlignment="1" applyProtection="1">
      <alignment horizontal="left"/>
      <protection locked="0"/>
    </xf>
    <xf numFmtId="49" fontId="11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11" fillId="4" borderId="3" xfId="1" quotePrefix="1" applyNumberFormat="1" applyFont="1" applyFill="1" applyBorder="1" applyAlignment="1" applyProtection="1">
      <alignment horizontal="center" vertical="center" wrapText="1"/>
      <protection locked="0"/>
    </xf>
    <xf numFmtId="49" fontId="11" fillId="4" borderId="3" xfId="1" applyNumberFormat="1" applyFont="1" applyFill="1" applyBorder="1" applyAlignment="1" applyProtection="1">
      <alignment horizontal="left" vertical="center" wrapText="1"/>
      <protection locked="0"/>
    </xf>
    <xf numFmtId="4" fontId="12" fillId="4" borderId="3" xfId="1" applyNumberFormat="1" applyFont="1" applyFill="1" applyBorder="1" applyAlignment="1" applyProtection="1">
      <alignment horizontal="right" vertical="center" wrapText="1"/>
      <protection locked="0"/>
    </xf>
    <xf numFmtId="10" fontId="12" fillId="4" borderId="3" xfId="1" applyNumberFormat="1" applyFont="1" applyFill="1" applyBorder="1" applyAlignment="1" applyProtection="1">
      <alignment horizontal="right" vertical="center" wrapText="1"/>
      <protection locked="0"/>
    </xf>
    <xf numFmtId="4" fontId="12" fillId="4" borderId="4" xfId="1" applyNumberFormat="1" applyFont="1" applyFill="1" applyBorder="1" applyAlignment="1" applyProtection="1">
      <alignment horizontal="right" vertical="center" wrapText="1"/>
      <protection locked="0"/>
    </xf>
    <xf numFmtId="4" fontId="12" fillId="4" borderId="5" xfId="1" applyNumberFormat="1" applyFont="1" applyFill="1" applyBorder="1" applyAlignment="1" applyProtection="1">
      <alignment horizontal="right" vertical="center" wrapText="1"/>
      <protection locked="0"/>
    </xf>
    <xf numFmtId="10" fontId="12" fillId="4" borderId="6" xfId="1" applyNumberFormat="1" applyFont="1" applyFill="1" applyBorder="1" applyAlignment="1" applyProtection="1">
      <alignment horizontal="right" vertical="center" wrapText="1"/>
      <protection locked="0"/>
    </xf>
    <xf numFmtId="49" fontId="11" fillId="2" borderId="17" xfId="1" applyNumberFormat="1" applyFont="1" applyFill="1" applyBorder="1" applyAlignment="1" applyProtection="1">
      <alignment horizontal="center" vertical="center" wrapText="1"/>
      <protection locked="0"/>
    </xf>
    <xf numFmtId="49" fontId="11" fillId="2" borderId="3" xfId="1" quotePrefix="1" applyNumberFormat="1" applyFont="1" applyFill="1" applyBorder="1" applyAlignment="1" applyProtection="1">
      <alignment horizontal="center" vertical="center" wrapText="1"/>
      <protection locked="0"/>
    </xf>
    <xf numFmtId="49" fontId="11" fillId="2" borderId="3" xfId="1" applyNumberFormat="1" applyFont="1" applyFill="1" applyBorder="1" applyAlignment="1" applyProtection="1">
      <alignment horizontal="left" vertical="center" wrapText="1"/>
      <protection locked="0"/>
    </xf>
    <xf numFmtId="4" fontId="12" fillId="2" borderId="3" xfId="1" applyNumberFormat="1" applyFont="1" applyFill="1" applyBorder="1" applyAlignment="1" applyProtection="1">
      <alignment horizontal="right" vertical="center" wrapText="1"/>
      <protection locked="0"/>
    </xf>
    <xf numFmtId="10" fontId="12" fillId="5" borderId="3" xfId="1" applyNumberFormat="1" applyFont="1" applyFill="1" applyBorder="1" applyAlignment="1" applyProtection="1">
      <alignment horizontal="right" vertical="center" wrapText="1"/>
      <protection locked="0"/>
    </xf>
    <xf numFmtId="49" fontId="8" fillId="3" borderId="18" xfId="1" quotePrefix="1" applyNumberFormat="1" applyFont="1" applyFill="1" applyBorder="1" applyAlignment="1" applyProtection="1">
      <alignment horizontal="center" vertical="center" wrapText="1"/>
      <protection locked="0"/>
    </xf>
    <xf numFmtId="49" fontId="8" fillId="3" borderId="19" xfId="1" applyNumberFormat="1" applyFont="1" applyFill="1" applyBorder="1" applyAlignment="1" applyProtection="1">
      <alignment horizontal="center" vertical="center" wrapText="1"/>
      <protection locked="0"/>
    </xf>
    <xf numFmtId="49" fontId="8" fillId="3" borderId="19" xfId="1" applyNumberFormat="1" applyFont="1" applyFill="1" applyBorder="1" applyAlignment="1" applyProtection="1">
      <alignment horizontal="left" vertical="center" wrapText="1"/>
      <protection locked="0"/>
    </xf>
    <xf numFmtId="4" fontId="9" fillId="3" borderId="20" xfId="1" applyNumberFormat="1" applyFont="1" applyFill="1" applyBorder="1" applyAlignment="1" applyProtection="1">
      <alignment horizontal="right" vertical="center" wrapText="1"/>
      <protection locked="0"/>
    </xf>
    <xf numFmtId="10" fontId="9" fillId="3" borderId="20" xfId="1" applyNumberFormat="1" applyFont="1" applyFill="1" applyBorder="1" applyAlignment="1" applyProtection="1">
      <alignment horizontal="right" vertical="center" wrapText="1"/>
      <protection locked="0"/>
    </xf>
    <xf numFmtId="4" fontId="9" fillId="3" borderId="21" xfId="1" applyNumberFormat="1" applyFont="1" applyFill="1" applyBorder="1" applyAlignment="1" applyProtection="1">
      <alignment horizontal="right" vertical="center" wrapText="1"/>
      <protection locked="0"/>
    </xf>
    <xf numFmtId="10" fontId="9" fillId="7" borderId="22" xfId="1" applyNumberFormat="1" applyFont="1" applyFill="1" applyBorder="1" applyAlignment="1" applyProtection="1">
      <alignment horizontal="right" vertical="center"/>
      <protection locked="0"/>
    </xf>
    <xf numFmtId="4" fontId="9" fillId="3" borderId="23" xfId="1" applyNumberFormat="1" applyFont="1" applyFill="1" applyBorder="1" applyAlignment="1" applyProtection="1">
      <alignment horizontal="right" vertical="center" wrapText="1"/>
      <protection locked="0"/>
    </xf>
    <xf numFmtId="4" fontId="9" fillId="3" borderId="24" xfId="1" applyNumberFormat="1" applyFont="1" applyFill="1" applyBorder="1" applyAlignment="1" applyProtection="1">
      <alignment horizontal="right" vertical="center" wrapText="1"/>
      <protection locked="0"/>
    </xf>
    <xf numFmtId="4" fontId="2" fillId="8" borderId="3" xfId="1" applyNumberFormat="1" applyFont="1" applyFill="1" applyBorder="1" applyAlignment="1" applyProtection="1">
      <alignment horizontal="right" vertical="center"/>
      <protection locked="0"/>
    </xf>
    <xf numFmtId="10" fontId="9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0" xfId="1" applyNumberFormat="1" applyFont="1" applyFill="1" applyBorder="1" applyAlignment="1" applyProtection="1">
      <alignment horizontal="right" vertical="center"/>
      <protection locked="0"/>
    </xf>
    <xf numFmtId="49" fontId="11" fillId="2" borderId="25" xfId="1" applyNumberFormat="1" applyFont="1" applyFill="1" applyBorder="1" applyAlignment="1" applyProtection="1">
      <alignment horizontal="center" vertical="center" wrapText="1"/>
      <protection locked="0"/>
    </xf>
    <xf numFmtId="10" fontId="9" fillId="4" borderId="20" xfId="1" applyNumberFormat="1" applyFont="1" applyFill="1" applyBorder="1" applyAlignment="1" applyProtection="1">
      <alignment horizontal="right" vertical="center" wrapText="1"/>
      <protection locked="0"/>
    </xf>
    <xf numFmtId="4" fontId="9" fillId="3" borderId="8" xfId="1" applyNumberFormat="1" applyFont="1" applyFill="1" applyBorder="1" applyAlignment="1" applyProtection="1">
      <alignment horizontal="right" vertical="center" wrapText="1"/>
      <protection locked="0"/>
    </xf>
    <xf numFmtId="49" fontId="11" fillId="2" borderId="2" xfId="1" applyNumberFormat="1" applyFont="1" applyFill="1" applyBorder="1" applyAlignment="1" applyProtection="1">
      <alignment horizontal="left" vertical="center" wrapText="1"/>
      <protection locked="0"/>
    </xf>
    <xf numFmtId="4" fontId="12" fillId="4" borderId="20" xfId="1" applyNumberFormat="1" applyFont="1" applyFill="1" applyBorder="1" applyAlignment="1" applyProtection="1">
      <alignment horizontal="right" vertical="center" wrapText="1"/>
      <protection locked="0"/>
    </xf>
    <xf numFmtId="10" fontId="12" fillId="4" borderId="20" xfId="1" applyNumberFormat="1" applyFont="1" applyFill="1" applyBorder="1" applyAlignment="1" applyProtection="1">
      <alignment horizontal="right" vertical="center" wrapText="1"/>
      <protection locked="0"/>
    </xf>
    <xf numFmtId="4" fontId="12" fillId="4" borderId="21" xfId="1" applyNumberFormat="1" applyFont="1" applyFill="1" applyBorder="1" applyAlignment="1" applyProtection="1">
      <alignment horizontal="right" vertical="center" wrapText="1"/>
      <protection locked="0"/>
    </xf>
    <xf numFmtId="10" fontId="12" fillId="6" borderId="22" xfId="1" applyNumberFormat="1" applyFont="1" applyFill="1" applyBorder="1" applyAlignment="1" applyProtection="1">
      <alignment horizontal="right" vertical="center"/>
      <protection locked="0"/>
    </xf>
    <xf numFmtId="4" fontId="12" fillId="4" borderId="23" xfId="1" applyNumberFormat="1" applyFont="1" applyFill="1" applyBorder="1" applyAlignment="1" applyProtection="1">
      <alignment horizontal="right" vertical="center" wrapText="1"/>
      <protection locked="0"/>
    </xf>
    <xf numFmtId="49" fontId="11" fillId="4" borderId="3" xfId="1" applyNumberFormat="1" applyFont="1" applyFill="1" applyBorder="1" applyAlignment="1" applyProtection="1">
      <alignment horizontal="center" vertical="center" wrapText="1"/>
      <protection locked="0"/>
    </xf>
    <xf numFmtId="4" fontId="12" fillId="6" borderId="3" xfId="1" applyNumberFormat="1" applyFont="1" applyFill="1" applyBorder="1" applyAlignment="1" applyProtection="1">
      <alignment horizontal="right" vertical="center"/>
      <protection locked="0"/>
    </xf>
    <xf numFmtId="49" fontId="11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2" fillId="0" borderId="13" xfId="1" applyNumberFormat="1" applyFont="1" applyFill="1" applyBorder="1" applyAlignment="1" applyProtection="1">
      <alignment horizontal="left" vertical="center"/>
      <protection locked="0"/>
    </xf>
    <xf numFmtId="4" fontId="12" fillId="0" borderId="3" xfId="1" applyNumberFormat="1" applyFont="1" applyFill="1" applyBorder="1" applyAlignment="1" applyProtection="1">
      <alignment horizontal="left" vertical="center"/>
      <protection locked="0"/>
    </xf>
    <xf numFmtId="10" fontId="12" fillId="5" borderId="20" xfId="1" applyNumberFormat="1" applyFont="1" applyFill="1" applyBorder="1" applyAlignment="1" applyProtection="1">
      <alignment horizontal="right" vertical="center" wrapText="1"/>
      <protection locked="0"/>
    </xf>
    <xf numFmtId="49" fontId="10" fillId="4" borderId="19" xfId="1" applyNumberFormat="1" applyFont="1" applyFill="1" applyBorder="1" applyAlignment="1" applyProtection="1">
      <alignment horizontal="center" vertical="center" wrapText="1"/>
      <protection locked="0"/>
    </xf>
    <xf numFmtId="49" fontId="11" fillId="4" borderId="19" xfId="1" applyNumberFormat="1" applyFont="1" applyFill="1" applyBorder="1" applyAlignment="1" applyProtection="1">
      <alignment horizontal="left" vertical="center" wrapText="1"/>
      <protection locked="0"/>
    </xf>
    <xf numFmtId="4" fontId="12" fillId="4" borderId="24" xfId="1" applyNumberFormat="1" applyFont="1" applyFill="1" applyBorder="1" applyAlignment="1" applyProtection="1">
      <alignment horizontal="right" vertical="center" wrapText="1"/>
      <protection locked="0"/>
    </xf>
    <xf numFmtId="49" fontId="10" fillId="4" borderId="11" xfId="1" applyNumberFormat="1" applyFont="1" applyFill="1" applyBorder="1" applyAlignment="1" applyProtection="1">
      <alignment horizontal="center" vertical="center" wrapText="1"/>
      <protection locked="0"/>
    </xf>
    <xf numFmtId="49" fontId="11" fillId="4" borderId="11" xfId="1" applyNumberFormat="1" applyFont="1" applyFill="1" applyBorder="1" applyAlignment="1" applyProtection="1">
      <alignment horizontal="left" vertical="center" wrapText="1"/>
      <protection locked="0"/>
    </xf>
    <xf numFmtId="4" fontId="12" fillId="4" borderId="12" xfId="1" applyNumberFormat="1" applyFont="1" applyFill="1" applyBorder="1" applyAlignment="1" applyProtection="1">
      <alignment horizontal="right" vertical="center" wrapText="1"/>
      <protection locked="0"/>
    </xf>
    <xf numFmtId="10" fontId="12" fillId="4" borderId="12" xfId="1" applyNumberFormat="1" applyFont="1" applyFill="1" applyBorder="1" applyAlignment="1" applyProtection="1">
      <alignment horizontal="right" vertical="center" wrapText="1"/>
      <protection locked="0"/>
    </xf>
    <xf numFmtId="4" fontId="12" fillId="4" borderId="27" xfId="1" applyNumberFormat="1" applyFont="1" applyFill="1" applyBorder="1" applyAlignment="1" applyProtection="1">
      <alignment horizontal="right" vertical="center" wrapText="1"/>
      <protection locked="0"/>
    </xf>
    <xf numFmtId="10" fontId="12" fillId="6" borderId="16" xfId="1" applyNumberFormat="1" applyFont="1" applyFill="1" applyBorder="1" applyAlignment="1" applyProtection="1">
      <alignment horizontal="right" vertical="center"/>
      <protection locked="0"/>
    </xf>
    <xf numFmtId="4" fontId="12" fillId="4" borderId="28" xfId="1" applyNumberFormat="1" applyFont="1" applyFill="1" applyBorder="1" applyAlignment="1" applyProtection="1">
      <alignment horizontal="right" vertical="center" wrapText="1"/>
      <protection locked="0"/>
    </xf>
    <xf numFmtId="4" fontId="12" fillId="4" borderId="29" xfId="1" applyNumberFormat="1" applyFont="1" applyFill="1" applyBorder="1" applyAlignment="1" applyProtection="1">
      <alignment horizontal="right" vertical="center" wrapText="1"/>
      <protection locked="0"/>
    </xf>
    <xf numFmtId="49" fontId="11" fillId="5" borderId="25" xfId="1" applyNumberFormat="1" applyFont="1" applyFill="1" applyBorder="1" applyAlignment="1" applyProtection="1">
      <alignment horizontal="center" vertical="center" wrapText="1"/>
      <protection locked="0"/>
    </xf>
    <xf numFmtId="49" fontId="12" fillId="5" borderId="3" xfId="1" quotePrefix="1" applyNumberFormat="1" applyFont="1" applyFill="1" applyBorder="1" applyAlignment="1" applyProtection="1">
      <alignment horizontal="center" vertical="center" wrapText="1"/>
      <protection locked="0"/>
    </xf>
    <xf numFmtId="49" fontId="12" fillId="5" borderId="3" xfId="1" applyNumberFormat="1" applyFont="1" applyFill="1" applyBorder="1" applyAlignment="1" applyProtection="1">
      <alignment horizontal="left" vertical="center" wrapText="1"/>
      <protection locked="0"/>
    </xf>
    <xf numFmtId="4" fontId="12" fillId="5" borderId="3" xfId="1" applyNumberFormat="1" applyFont="1" applyFill="1" applyBorder="1" applyAlignment="1" applyProtection="1">
      <alignment horizontal="right" vertical="center" wrapText="1"/>
      <protection locked="0"/>
    </xf>
    <xf numFmtId="4" fontId="12" fillId="5" borderId="3" xfId="1" applyNumberFormat="1" applyFont="1" applyFill="1" applyBorder="1" applyAlignment="1" applyProtection="1">
      <alignment vertical="center" wrapText="1"/>
      <protection locked="0"/>
    </xf>
    <xf numFmtId="10" fontId="12" fillId="5" borderId="3" xfId="1" applyNumberFormat="1" applyFont="1" applyFill="1" applyBorder="1" applyAlignment="1" applyProtection="1">
      <alignment vertical="center" wrapText="1"/>
      <protection locked="0"/>
    </xf>
    <xf numFmtId="4" fontId="12" fillId="5" borderId="4" xfId="1" applyNumberFormat="1" applyFont="1" applyFill="1" applyBorder="1" applyAlignment="1" applyProtection="1">
      <alignment vertical="center" wrapText="1"/>
      <protection locked="0"/>
    </xf>
    <xf numFmtId="4" fontId="12" fillId="5" borderId="5" xfId="1" applyNumberFormat="1" applyFont="1" applyFill="1" applyBorder="1" applyAlignment="1" applyProtection="1">
      <alignment horizontal="right" vertical="center" wrapText="1"/>
      <protection locked="0"/>
    </xf>
    <xf numFmtId="10" fontId="12" fillId="9" borderId="6" xfId="1" applyNumberFormat="1" applyFont="1" applyFill="1" applyBorder="1" applyAlignment="1" applyProtection="1">
      <alignment horizontal="right" vertical="center"/>
      <protection locked="0"/>
    </xf>
    <xf numFmtId="0" fontId="4" fillId="9" borderId="0" xfId="1" applyNumberFormat="1" applyFont="1" applyFill="1" applyBorder="1" applyAlignment="1" applyProtection="1">
      <alignment horizontal="left"/>
      <protection locked="0"/>
    </xf>
    <xf numFmtId="49" fontId="11" fillId="2" borderId="19" xfId="1" applyNumberFormat="1" applyFont="1" applyFill="1" applyBorder="1" applyAlignment="1" applyProtection="1">
      <alignment horizontal="center" vertical="center" wrapText="1"/>
      <protection locked="0"/>
    </xf>
    <xf numFmtId="49" fontId="11" fillId="2" borderId="19" xfId="1" applyNumberFormat="1" applyFont="1" applyFill="1" applyBorder="1" applyAlignment="1" applyProtection="1">
      <alignment horizontal="left" vertical="center" wrapText="1"/>
      <protection locked="0"/>
    </xf>
    <xf numFmtId="4" fontId="12" fillId="2" borderId="20" xfId="1" applyNumberFormat="1" applyFont="1" applyFill="1" applyBorder="1" applyAlignment="1" applyProtection="1">
      <alignment horizontal="right" vertical="center" wrapText="1"/>
      <protection locked="0"/>
    </xf>
    <xf numFmtId="4" fontId="12" fillId="0" borderId="17" xfId="1" applyNumberFormat="1" applyFont="1" applyFill="1" applyBorder="1" applyAlignment="1" applyProtection="1">
      <alignment vertical="center"/>
      <protection locked="0"/>
    </xf>
    <xf numFmtId="4" fontId="12" fillId="0" borderId="30" xfId="1" applyNumberFormat="1" applyFont="1" applyFill="1" applyBorder="1" applyAlignment="1" applyProtection="1">
      <alignment vertical="center"/>
      <protection locked="0"/>
    </xf>
    <xf numFmtId="4" fontId="12" fillId="0" borderId="31" xfId="1" applyNumberFormat="1" applyFont="1" applyFill="1" applyBorder="1" applyAlignment="1" applyProtection="1">
      <alignment horizontal="right" vertical="center"/>
      <protection locked="0"/>
    </xf>
    <xf numFmtId="4" fontId="12" fillId="0" borderId="17" xfId="1" applyNumberFormat="1" applyFont="1" applyFill="1" applyBorder="1" applyAlignment="1" applyProtection="1">
      <alignment horizontal="right" vertical="center"/>
      <protection locked="0"/>
    </xf>
    <xf numFmtId="4" fontId="12" fillId="0" borderId="3" xfId="1" applyNumberFormat="1" applyFont="1" applyFill="1" applyBorder="1" applyAlignment="1" applyProtection="1">
      <alignment vertical="center"/>
      <protection locked="0"/>
    </xf>
    <xf numFmtId="4" fontId="12" fillId="0" borderId="4" xfId="1" applyNumberFormat="1" applyFont="1" applyFill="1" applyBorder="1" applyAlignment="1" applyProtection="1">
      <alignment vertical="center"/>
      <protection locked="0"/>
    </xf>
    <xf numFmtId="49" fontId="10" fillId="4" borderId="32" xfId="1" applyNumberFormat="1" applyFont="1" applyFill="1" applyBorder="1" applyAlignment="1" applyProtection="1">
      <alignment horizontal="center" vertical="center" wrapText="1"/>
      <protection locked="0"/>
    </xf>
    <xf numFmtId="49" fontId="11" fillId="4" borderId="32" xfId="1" applyNumberFormat="1" applyFont="1" applyFill="1" applyBorder="1" applyAlignment="1" applyProtection="1">
      <alignment horizontal="left" vertical="center" wrapText="1"/>
      <protection locked="0"/>
    </xf>
    <xf numFmtId="4" fontId="12" fillId="4" borderId="33" xfId="1" applyNumberFormat="1" applyFont="1" applyFill="1" applyBorder="1" applyAlignment="1" applyProtection="1">
      <alignment horizontal="right" vertical="center" wrapText="1"/>
      <protection locked="0"/>
    </xf>
    <xf numFmtId="10" fontId="12" fillId="4" borderId="33" xfId="1" applyNumberFormat="1" applyFont="1" applyFill="1" applyBorder="1" applyAlignment="1" applyProtection="1">
      <alignment horizontal="right" vertical="center" wrapText="1"/>
      <protection locked="0"/>
    </xf>
    <xf numFmtId="4" fontId="12" fillId="4" borderId="34" xfId="1" applyNumberFormat="1" applyFont="1" applyFill="1" applyBorder="1" applyAlignment="1" applyProtection="1">
      <alignment horizontal="right" vertical="center" wrapText="1"/>
      <protection locked="0"/>
    </xf>
    <xf numFmtId="4" fontId="12" fillId="4" borderId="35" xfId="1" applyNumberFormat="1" applyFont="1" applyFill="1" applyBorder="1" applyAlignment="1" applyProtection="1">
      <alignment horizontal="right" vertical="center" wrapText="1"/>
      <protection locked="0"/>
    </xf>
    <xf numFmtId="49" fontId="12" fillId="5" borderId="10" xfId="1" applyNumberFormat="1" applyFont="1" applyFill="1" applyBorder="1" applyAlignment="1" applyProtection="1">
      <alignment horizontal="center" vertical="center" wrapText="1"/>
      <protection locked="0"/>
    </xf>
    <xf numFmtId="49" fontId="12" fillId="5" borderId="25" xfId="1" applyNumberFormat="1" applyFont="1" applyFill="1" applyBorder="1" applyAlignment="1" applyProtection="1">
      <alignment horizontal="center" vertical="center" wrapText="1"/>
      <protection locked="0"/>
    </xf>
    <xf numFmtId="4" fontId="12" fillId="5" borderId="5" xfId="1" applyNumberFormat="1" applyFont="1" applyFill="1" applyBorder="1" applyAlignment="1" applyProtection="1">
      <alignment vertical="center" wrapText="1"/>
      <protection locked="0"/>
    </xf>
    <xf numFmtId="0" fontId="12" fillId="9" borderId="0" xfId="1" applyNumberFormat="1" applyFont="1" applyFill="1" applyBorder="1" applyAlignment="1" applyProtection="1">
      <alignment horizontal="left"/>
      <protection locked="0"/>
    </xf>
    <xf numFmtId="10" fontId="12" fillId="5" borderId="20" xfId="1" applyNumberFormat="1" applyFont="1" applyFill="1" applyBorder="1" applyAlignment="1" applyProtection="1">
      <alignment vertical="center" wrapText="1"/>
      <protection locked="0"/>
    </xf>
    <xf numFmtId="4" fontId="12" fillId="0" borderId="31" xfId="1" applyNumberFormat="1" applyFont="1" applyFill="1" applyBorder="1" applyAlignment="1" applyProtection="1">
      <alignment vertical="center"/>
      <protection locked="0"/>
    </xf>
    <xf numFmtId="10" fontId="12" fillId="0" borderId="22" xfId="1" applyNumberFormat="1" applyFont="1" applyFill="1" applyBorder="1" applyAlignment="1" applyProtection="1">
      <alignment horizontal="right" vertical="center"/>
      <protection locked="0"/>
    </xf>
    <xf numFmtId="10" fontId="12" fillId="5" borderId="2" xfId="1" applyNumberFormat="1" applyFont="1" applyFill="1" applyBorder="1" applyAlignment="1" applyProtection="1">
      <alignment vertical="center" wrapText="1"/>
      <protection locked="0"/>
    </xf>
    <xf numFmtId="4" fontId="12" fillId="0" borderId="5" xfId="1" applyNumberFormat="1" applyFont="1" applyFill="1" applyBorder="1" applyAlignment="1" applyProtection="1">
      <alignment vertical="center"/>
      <protection locked="0"/>
    </xf>
    <xf numFmtId="4" fontId="12" fillId="0" borderId="0" xfId="1" applyNumberFormat="1" applyFont="1" applyFill="1" applyBorder="1" applyAlignment="1" applyProtection="1">
      <alignment vertical="center"/>
      <protection locked="0"/>
    </xf>
    <xf numFmtId="4" fontId="12" fillId="0" borderId="36" xfId="1" applyNumberFormat="1" applyFont="1" applyFill="1" applyBorder="1" applyAlignment="1" applyProtection="1">
      <alignment vertical="center"/>
      <protection locked="0"/>
    </xf>
    <xf numFmtId="49" fontId="11" fillId="2" borderId="13" xfId="1" applyNumberFormat="1" applyFont="1" applyFill="1" applyBorder="1" applyAlignment="1" applyProtection="1">
      <alignment horizontal="left" vertical="center" wrapText="1"/>
      <protection locked="0"/>
    </xf>
    <xf numFmtId="4" fontId="12" fillId="2" borderId="13" xfId="1" applyNumberFormat="1" applyFont="1" applyFill="1" applyBorder="1" applyAlignment="1" applyProtection="1">
      <alignment horizontal="right" vertical="center" wrapText="1"/>
      <protection locked="0"/>
    </xf>
    <xf numFmtId="10" fontId="12" fillId="5" borderId="13" xfId="1" applyNumberFormat="1" applyFont="1" applyFill="1" applyBorder="1" applyAlignment="1" applyProtection="1">
      <alignment horizontal="right" vertical="center" wrapText="1"/>
      <protection locked="0"/>
    </xf>
    <xf numFmtId="49" fontId="11" fillId="10" borderId="3" xfId="1" applyNumberFormat="1" applyFont="1" applyFill="1" applyBorder="1" applyAlignment="1" applyProtection="1">
      <alignment horizontal="center" vertical="center" wrapText="1"/>
      <protection locked="0"/>
    </xf>
    <xf numFmtId="49" fontId="11" fillId="10" borderId="3" xfId="1" applyNumberFormat="1" applyFont="1" applyFill="1" applyBorder="1" applyAlignment="1" applyProtection="1">
      <alignment horizontal="left" vertical="center" wrapText="1"/>
      <protection locked="0"/>
    </xf>
    <xf numFmtId="4" fontId="12" fillId="10" borderId="3" xfId="1" applyNumberFormat="1" applyFont="1" applyFill="1" applyBorder="1" applyAlignment="1" applyProtection="1">
      <alignment horizontal="right" vertical="center" wrapText="1"/>
      <protection locked="0"/>
    </xf>
    <xf numFmtId="10" fontId="12" fillId="10" borderId="3" xfId="1" applyNumberFormat="1" applyFont="1" applyFill="1" applyBorder="1" applyAlignment="1" applyProtection="1">
      <alignment horizontal="right" vertical="center" wrapText="1"/>
      <protection locked="0"/>
    </xf>
    <xf numFmtId="4" fontId="12" fillId="10" borderId="4" xfId="1" applyNumberFormat="1" applyFont="1" applyFill="1" applyBorder="1" applyAlignment="1" applyProtection="1">
      <alignment horizontal="right" vertical="center" wrapText="1"/>
      <protection locked="0"/>
    </xf>
    <xf numFmtId="4" fontId="12" fillId="10" borderId="5" xfId="1" applyNumberFormat="1" applyFont="1" applyFill="1" applyBorder="1" applyAlignment="1" applyProtection="1">
      <alignment horizontal="right" vertical="center" wrapText="1"/>
      <protection locked="0"/>
    </xf>
    <xf numFmtId="10" fontId="12" fillId="8" borderId="6" xfId="1" applyNumberFormat="1" applyFont="1" applyFill="1" applyBorder="1" applyAlignment="1" applyProtection="1">
      <alignment horizontal="right" vertical="center"/>
      <protection locked="0"/>
    </xf>
    <xf numFmtId="4" fontId="12" fillId="8" borderId="3" xfId="1" applyNumberFormat="1" applyFont="1" applyFill="1" applyBorder="1" applyAlignment="1" applyProtection="1">
      <alignment horizontal="right" vertical="center"/>
      <protection locked="0"/>
    </xf>
    <xf numFmtId="49" fontId="12" fillId="5" borderId="1" xfId="1" quotePrefix="1" applyNumberFormat="1" applyFont="1" applyFill="1" applyBorder="1" applyAlignment="1" applyProtection="1">
      <alignment horizontal="center" vertical="center" wrapText="1"/>
      <protection locked="0"/>
    </xf>
    <xf numFmtId="4" fontId="12" fillId="5" borderId="0" xfId="1" applyNumberFormat="1" applyFont="1" applyFill="1" applyBorder="1" applyAlignment="1" applyProtection="1">
      <alignment horizontal="right" vertical="center" wrapText="1"/>
      <protection locked="0"/>
    </xf>
    <xf numFmtId="4" fontId="12" fillId="5" borderId="4" xfId="1" applyNumberFormat="1" applyFont="1" applyFill="1" applyBorder="1" applyAlignment="1" applyProtection="1">
      <alignment horizontal="right" vertical="center" wrapText="1"/>
      <protection locked="0"/>
    </xf>
    <xf numFmtId="4" fontId="12" fillId="5" borderId="36" xfId="1" applyNumberFormat="1" applyFont="1" applyFill="1" applyBorder="1" applyAlignment="1" applyProtection="1">
      <alignment horizontal="right" vertical="center" wrapText="1"/>
      <protection locked="0"/>
    </xf>
    <xf numFmtId="4" fontId="12" fillId="9" borderId="0" xfId="1" applyNumberFormat="1" applyFont="1" applyFill="1" applyBorder="1" applyAlignment="1" applyProtection="1">
      <alignment horizontal="right" vertical="center"/>
      <protection locked="0"/>
    </xf>
    <xf numFmtId="4" fontId="12" fillId="0" borderId="6" xfId="1" applyNumberFormat="1" applyFont="1" applyFill="1" applyBorder="1" applyAlignment="1" applyProtection="1">
      <alignment horizontal="right" vertical="center"/>
      <protection locked="0"/>
    </xf>
    <xf numFmtId="4" fontId="2" fillId="6" borderId="0" xfId="1" applyNumberFormat="1" applyFont="1" applyFill="1" applyBorder="1" applyAlignment="1" applyProtection="1">
      <alignment horizontal="right" vertical="center"/>
      <protection locked="0"/>
    </xf>
    <xf numFmtId="10" fontId="12" fillId="4" borderId="25" xfId="1" applyNumberFormat="1" applyFont="1" applyFill="1" applyBorder="1" applyAlignment="1" applyProtection="1">
      <alignment horizontal="right" vertical="center" wrapText="1"/>
      <protection locked="0"/>
    </xf>
    <xf numFmtId="49" fontId="12" fillId="5" borderId="4" xfId="1" applyNumberFormat="1" applyFont="1" applyFill="1" applyBorder="1" applyAlignment="1" applyProtection="1">
      <alignment horizontal="left" vertical="center" wrapText="1"/>
      <protection locked="0"/>
    </xf>
    <xf numFmtId="49" fontId="11" fillId="2" borderId="4" xfId="1" applyNumberFormat="1" applyFont="1" applyFill="1" applyBorder="1" applyAlignment="1" applyProtection="1">
      <alignment horizontal="left" vertical="center" wrapText="1"/>
      <protection locked="0"/>
    </xf>
    <xf numFmtId="4" fontId="12" fillId="9" borderId="14" xfId="1" applyNumberFormat="1" applyFont="1" applyFill="1" applyBorder="1" applyAlignment="1" applyProtection="1">
      <alignment horizontal="right" vertical="center"/>
      <protection locked="0"/>
    </xf>
    <xf numFmtId="4" fontId="12" fillId="9" borderId="4" xfId="1" applyNumberFormat="1" applyFont="1" applyFill="1" applyBorder="1" applyAlignment="1" applyProtection="1">
      <alignment horizontal="right" vertical="center"/>
      <protection locked="0"/>
    </xf>
    <xf numFmtId="4" fontId="13" fillId="2" borderId="3" xfId="1" applyNumberFormat="1" applyFont="1" applyFill="1" applyBorder="1" applyAlignment="1" applyProtection="1">
      <alignment horizontal="right" vertical="center" wrapText="1"/>
      <protection locked="0"/>
    </xf>
    <xf numFmtId="10" fontId="13" fillId="2" borderId="3" xfId="1" applyNumberFormat="1" applyFont="1" applyFill="1" applyBorder="1" applyAlignment="1" applyProtection="1">
      <alignment horizontal="right" vertical="center" wrapText="1"/>
      <protection locked="0"/>
    </xf>
    <xf numFmtId="4" fontId="13" fillId="2" borderId="4" xfId="1" applyNumberFormat="1" applyFont="1" applyFill="1" applyBorder="1" applyAlignment="1" applyProtection="1">
      <alignment horizontal="right" vertical="center" wrapText="1"/>
      <protection locked="0"/>
    </xf>
    <xf numFmtId="4" fontId="13" fillId="2" borderId="5" xfId="1" applyNumberFormat="1" applyFont="1" applyFill="1" applyBorder="1" applyAlignment="1" applyProtection="1">
      <alignment horizontal="right" vertical="center" wrapText="1"/>
      <protection locked="0"/>
    </xf>
    <xf numFmtId="10" fontId="13" fillId="2" borderId="6" xfId="1" applyNumberFormat="1" applyFont="1" applyFill="1" applyBorder="1" applyAlignment="1" applyProtection="1">
      <alignment horizontal="right" vertical="center" wrapText="1"/>
      <protection locked="0"/>
    </xf>
    <xf numFmtId="4" fontId="5" fillId="2" borderId="3" xfId="1" applyNumberFormat="1" applyFont="1" applyFill="1" applyBorder="1" applyAlignment="1" applyProtection="1">
      <alignment horizontal="right" vertical="center" wrapText="1"/>
      <protection locked="0"/>
    </xf>
    <xf numFmtId="4" fontId="14" fillId="0" borderId="0" xfId="1" applyNumberFormat="1" applyFont="1" applyFill="1" applyBorder="1" applyAlignment="1" applyProtection="1">
      <alignment horizontal="left"/>
      <protection locked="0"/>
    </xf>
    <xf numFmtId="0" fontId="7" fillId="0" borderId="0" xfId="1" applyNumberFormat="1" applyFont="1" applyFill="1" applyBorder="1" applyAlignment="1" applyProtection="1">
      <alignment horizontal="right"/>
      <protection locked="0"/>
    </xf>
    <xf numFmtId="4" fontId="15" fillId="9" borderId="0" xfId="1" applyNumberFormat="1" applyFont="1" applyFill="1" applyBorder="1" applyAlignment="1" applyProtection="1">
      <alignment horizontal="left"/>
      <protection locked="0"/>
    </xf>
    <xf numFmtId="4" fontId="15" fillId="0" borderId="0" xfId="1" applyNumberFormat="1" applyFont="1" applyFill="1" applyBorder="1" applyAlignment="1" applyProtection="1">
      <alignment horizontal="left"/>
      <protection locked="0"/>
    </xf>
    <xf numFmtId="0" fontId="15" fillId="0" borderId="0" xfId="1" applyNumberFormat="1" applyFont="1" applyFill="1" applyBorder="1" applyAlignment="1" applyProtection="1">
      <alignment horizontal="left"/>
      <protection locked="0"/>
    </xf>
    <xf numFmtId="0" fontId="16" fillId="0" borderId="0" xfId="1" applyNumberFormat="1" applyFont="1" applyFill="1" applyBorder="1" applyAlignment="1" applyProtection="1">
      <alignment horizontal="left"/>
      <protection locked="0"/>
    </xf>
    <xf numFmtId="4" fontId="4" fillId="0" borderId="0" xfId="1" applyNumberFormat="1" applyFont="1" applyFill="1" applyBorder="1" applyAlignment="1" applyProtection="1">
      <alignment horizontal="left"/>
      <protection locked="0"/>
    </xf>
    <xf numFmtId="0" fontId="4" fillId="0" borderId="37" xfId="1" applyNumberFormat="1" applyFont="1" applyFill="1" applyBorder="1" applyAlignment="1" applyProtection="1">
      <alignment horizontal="left" vertical="center"/>
      <protection locked="0"/>
    </xf>
    <xf numFmtId="0" fontId="3" fillId="0" borderId="37" xfId="1" applyNumberFormat="1" applyFont="1" applyFill="1" applyBorder="1" applyAlignment="1" applyProtection="1">
      <alignment horizontal="left" vertical="center"/>
      <protection locked="0"/>
    </xf>
    <xf numFmtId="4" fontId="7" fillId="0" borderId="37" xfId="1" applyNumberFormat="1" applyFont="1" applyFill="1" applyBorder="1" applyAlignment="1" applyProtection="1">
      <alignment horizontal="right" vertical="center"/>
      <protection locked="0"/>
    </xf>
    <xf numFmtId="10" fontId="7" fillId="0" borderId="37" xfId="1" applyNumberFormat="1" applyFont="1" applyFill="1" applyBorder="1" applyAlignment="1" applyProtection="1">
      <alignment horizontal="right" vertical="center"/>
      <protection locked="0"/>
    </xf>
    <xf numFmtId="4" fontId="13" fillId="0" borderId="37" xfId="1" applyNumberFormat="1" applyFont="1" applyFill="1" applyBorder="1" applyAlignment="1" applyProtection="1">
      <alignment horizontal="right" vertical="center"/>
      <protection locked="0"/>
    </xf>
    <xf numFmtId="4" fontId="5" fillId="0" borderId="37" xfId="1" applyNumberFormat="1" applyFont="1" applyFill="1" applyBorder="1" applyAlignment="1" applyProtection="1">
      <alignment horizontal="right" vertical="center"/>
      <protection locked="0"/>
    </xf>
    <xf numFmtId="0" fontId="4" fillId="0" borderId="37" xfId="1" applyNumberFormat="1" applyFont="1" applyFill="1" applyBorder="1" applyAlignment="1" applyProtection="1">
      <alignment horizontal="left"/>
      <protection locked="0"/>
    </xf>
    <xf numFmtId="0" fontId="17" fillId="0" borderId="37" xfId="1" applyNumberFormat="1" applyFont="1" applyFill="1" applyBorder="1" applyAlignment="1" applyProtection="1">
      <alignment horizontal="left"/>
      <protection locked="0"/>
    </xf>
    <xf numFmtId="4" fontId="4" fillId="0" borderId="37" xfId="1" applyNumberFormat="1" applyFont="1" applyFill="1" applyBorder="1" applyAlignment="1" applyProtection="1">
      <alignment horizontal="left"/>
      <protection locked="0"/>
    </xf>
    <xf numFmtId="0" fontId="4" fillId="0" borderId="37" xfId="1" applyNumberFormat="1" applyFont="1" applyFill="1" applyBorder="1" applyAlignment="1" applyProtection="1">
      <alignment horizontal="right"/>
      <protection locked="0"/>
    </xf>
    <xf numFmtId="4" fontId="18" fillId="0" borderId="37" xfId="1" applyNumberFormat="1" applyFont="1" applyFill="1" applyBorder="1" applyAlignment="1" applyProtection="1">
      <alignment horizontal="right"/>
      <protection locked="0"/>
    </xf>
    <xf numFmtId="10" fontId="18" fillId="0" borderId="37" xfId="1" applyNumberFormat="1" applyFont="1" applyFill="1" applyBorder="1" applyAlignment="1" applyProtection="1">
      <alignment horizontal="right" vertical="top"/>
      <protection locked="0"/>
    </xf>
    <xf numFmtId="10" fontId="18" fillId="0" borderId="37" xfId="1" applyNumberFormat="1" applyFont="1" applyFill="1" applyBorder="1" applyAlignment="1" applyProtection="1">
      <alignment horizontal="right" vertical="center"/>
      <protection locked="0"/>
    </xf>
    <xf numFmtId="0" fontId="4" fillId="0" borderId="38" xfId="1" applyNumberFormat="1" applyFont="1" applyFill="1" applyBorder="1" applyAlignment="1" applyProtection="1">
      <alignment horizontal="right"/>
      <protection locked="0"/>
    </xf>
    <xf numFmtId="0" fontId="17" fillId="0" borderId="39" xfId="1" applyNumberFormat="1" applyFont="1" applyFill="1" applyBorder="1" applyAlignment="1" applyProtection="1">
      <alignment horizontal="left"/>
      <protection locked="0"/>
    </xf>
    <xf numFmtId="0" fontId="4" fillId="0" borderId="40" xfId="1" applyNumberFormat="1" applyFont="1" applyFill="1" applyBorder="1" applyAlignment="1" applyProtection="1">
      <alignment horizontal="left"/>
      <protection locked="0"/>
    </xf>
    <xf numFmtId="0" fontId="4" fillId="0" borderId="41" xfId="1" applyNumberFormat="1" applyFont="1" applyFill="1" applyBorder="1" applyAlignment="1" applyProtection="1">
      <alignment horizontal="right"/>
      <protection locked="0"/>
    </xf>
    <xf numFmtId="0" fontId="4" fillId="0" borderId="37" xfId="1" applyNumberFormat="1" applyFont="1" applyFill="1" applyBorder="1" applyAlignment="1" applyProtection="1">
      <alignment horizontal="right" vertical="center"/>
      <protection locked="0"/>
    </xf>
    <xf numFmtId="10" fontId="13" fillId="0" borderId="37" xfId="1" applyNumberFormat="1" applyFont="1" applyFill="1" applyBorder="1" applyAlignment="1" applyProtection="1">
      <alignment horizontal="right" vertical="center"/>
      <protection locked="0"/>
    </xf>
    <xf numFmtId="0" fontId="4" fillId="0" borderId="40" xfId="1" applyNumberFormat="1" applyFont="1" applyFill="1" applyBorder="1" applyAlignment="1" applyProtection="1">
      <alignment horizontal="right"/>
      <protection locked="0"/>
    </xf>
    <xf numFmtId="0" fontId="17" fillId="0" borderId="40" xfId="1" applyNumberFormat="1" applyFont="1" applyFill="1" applyBorder="1" applyAlignment="1" applyProtection="1">
      <alignment horizontal="left"/>
      <protection locked="0"/>
    </xf>
    <xf numFmtId="0" fontId="4" fillId="0" borderId="37" xfId="1" applyNumberFormat="1" applyFont="1" applyFill="1" applyBorder="1" applyAlignment="1" applyProtection="1">
      <alignment horizontal="right" vertical="top"/>
      <protection locked="0"/>
    </xf>
    <xf numFmtId="0" fontId="17" fillId="0" borderId="37" xfId="1" applyNumberFormat="1" applyFont="1" applyFill="1" applyBorder="1" applyAlignment="1" applyProtection="1">
      <alignment horizontal="left" vertical="top" wrapText="1"/>
      <protection locked="0"/>
    </xf>
    <xf numFmtId="4" fontId="18" fillId="0" borderId="37" xfId="1" applyNumberFormat="1" applyFont="1" applyFill="1" applyBorder="1" applyAlignment="1" applyProtection="1">
      <alignment horizontal="right" vertical="top"/>
      <protection locked="0"/>
    </xf>
    <xf numFmtId="0" fontId="4" fillId="0" borderId="0" xfId="1" applyNumberFormat="1" applyFont="1" applyFill="1" applyBorder="1" applyAlignment="1" applyProtection="1">
      <alignment horizontal="right"/>
      <protection locked="0"/>
    </xf>
    <xf numFmtId="0" fontId="17" fillId="0" borderId="0" xfId="1" applyNumberFormat="1" applyFont="1" applyFill="1" applyBorder="1" applyAlignment="1" applyProtection="1">
      <alignment horizontal="left"/>
      <protection locked="0"/>
    </xf>
    <xf numFmtId="0" fontId="4" fillId="0" borderId="0" xfId="2" applyNumberFormat="1" applyFont="1" applyFill="1" applyBorder="1" applyAlignment="1" applyProtection="1">
      <alignment horizontal="left"/>
      <protection locked="0"/>
    </xf>
    <xf numFmtId="0" fontId="15" fillId="0" borderId="0" xfId="2" applyNumberFormat="1" applyFont="1" applyFill="1" applyBorder="1" applyAlignment="1" applyProtection="1">
      <alignment horizontal="left"/>
      <protection locked="0"/>
    </xf>
    <xf numFmtId="0" fontId="3" fillId="0" borderId="0" xfId="2" applyNumberFormat="1" applyFont="1" applyFill="1" applyBorder="1" applyAlignment="1" applyProtection="1">
      <alignment horizontal="left" vertical="top"/>
      <protection locked="0"/>
    </xf>
    <xf numFmtId="0" fontId="4" fillId="0" borderId="0" xfId="2" applyNumberFormat="1" applyFont="1" applyFill="1" applyBorder="1" applyAlignment="1" applyProtection="1">
      <alignment horizontal="left" wrapText="1"/>
      <protection locked="0"/>
    </xf>
    <xf numFmtId="49" fontId="5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2" applyNumberFormat="1" applyFont="1" applyFill="1" applyBorder="1" applyAlignment="1" applyProtection="1">
      <alignment horizontal="center" vertical="top" wrapText="1"/>
      <protection locked="0"/>
    </xf>
    <xf numFmtId="0" fontId="2" fillId="0" borderId="3" xfId="2" applyNumberFormat="1" applyFont="1" applyFill="1" applyBorder="1" applyAlignment="1" applyProtection="1">
      <alignment horizontal="left" vertical="top" wrapText="1"/>
      <protection locked="0"/>
    </xf>
    <xf numFmtId="49" fontId="8" fillId="3" borderId="1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1" xfId="2" applyNumberFormat="1" applyFont="1" applyFill="1" applyBorder="1" applyAlignment="1" applyProtection="1">
      <alignment horizontal="left" vertical="center" wrapText="1"/>
      <protection locked="0"/>
    </xf>
    <xf numFmtId="4" fontId="8" fillId="3" borderId="2" xfId="2" applyNumberFormat="1" applyFont="1" applyFill="1" applyBorder="1" applyAlignment="1" applyProtection="1">
      <alignment horizontal="right" vertical="center" wrapText="1"/>
      <protection locked="0"/>
    </xf>
    <xf numFmtId="10" fontId="8" fillId="3" borderId="2" xfId="2" applyNumberFormat="1" applyFont="1" applyFill="1" applyBorder="1" applyAlignment="1" applyProtection="1">
      <alignment horizontal="right" vertical="center" wrapText="1"/>
      <protection locked="0"/>
    </xf>
    <xf numFmtId="4" fontId="8" fillId="3" borderId="7" xfId="2" applyNumberFormat="1" applyFont="1" applyFill="1" applyBorder="1" applyAlignment="1" applyProtection="1">
      <alignment horizontal="right" vertical="center" wrapText="1"/>
      <protection locked="0"/>
    </xf>
    <xf numFmtId="4" fontId="8" fillId="3" borderId="9" xfId="2" applyNumberFormat="1" applyFont="1" applyFill="1" applyBorder="1" applyAlignment="1" applyProtection="1">
      <alignment horizontal="right" vertical="center" wrapText="1"/>
      <protection locked="0"/>
    </xf>
    <xf numFmtId="49" fontId="10" fillId="2" borderId="10" xfId="2" applyNumberFormat="1" applyFont="1" applyFill="1" applyBorder="1" applyAlignment="1" applyProtection="1">
      <alignment horizontal="center" vertical="center" wrapText="1"/>
      <protection locked="0"/>
    </xf>
    <xf numFmtId="49" fontId="11" fillId="10" borderId="1" xfId="2" applyNumberFormat="1" applyFont="1" applyFill="1" applyBorder="1" applyAlignment="1" applyProtection="1">
      <alignment horizontal="center" vertical="center" wrapText="1"/>
      <protection locked="0"/>
    </xf>
    <xf numFmtId="49" fontId="10" fillId="10" borderId="1" xfId="2" applyNumberFormat="1" applyFont="1" applyFill="1" applyBorder="1" applyAlignment="1" applyProtection="1">
      <alignment horizontal="center" vertical="center" wrapText="1"/>
      <protection locked="0"/>
    </xf>
    <xf numFmtId="49" fontId="11" fillId="10" borderId="1" xfId="2" applyNumberFormat="1" applyFont="1" applyFill="1" applyBorder="1" applyAlignment="1" applyProtection="1">
      <alignment horizontal="left" vertical="center" wrapText="1"/>
      <protection locked="0"/>
    </xf>
    <xf numFmtId="4" fontId="11" fillId="10" borderId="2" xfId="2" applyNumberFormat="1" applyFont="1" applyFill="1" applyBorder="1" applyAlignment="1" applyProtection="1">
      <alignment horizontal="right" vertical="center" wrapText="1"/>
      <protection locked="0"/>
    </xf>
    <xf numFmtId="10" fontId="11" fillId="10" borderId="2" xfId="2" applyNumberFormat="1" applyFont="1" applyFill="1" applyBorder="1" applyAlignment="1" applyProtection="1">
      <alignment horizontal="right" vertical="center" wrapText="1"/>
      <protection locked="0"/>
    </xf>
    <xf numFmtId="4" fontId="11" fillId="10" borderId="7" xfId="2" applyNumberFormat="1" applyFont="1" applyFill="1" applyBorder="1" applyAlignment="1" applyProtection="1">
      <alignment horizontal="right" vertical="center" wrapText="1"/>
      <protection locked="0"/>
    </xf>
    <xf numFmtId="4" fontId="11" fillId="10" borderId="9" xfId="2" applyNumberFormat="1" applyFont="1" applyFill="1" applyBorder="1" applyAlignment="1" applyProtection="1">
      <alignment horizontal="right" vertical="center" wrapText="1"/>
      <protection locked="0"/>
    </xf>
    <xf numFmtId="49" fontId="11" fillId="2" borderId="10" xfId="2" applyNumberFormat="1" applyFont="1" applyFill="1" applyBorder="1" applyAlignment="1" applyProtection="1">
      <alignment horizontal="center" vertical="center" wrapText="1"/>
      <protection locked="0"/>
    </xf>
    <xf numFmtId="49" fontId="11" fillId="2" borderId="1" xfId="2" applyNumberFormat="1" applyFont="1" applyFill="1" applyBorder="1" applyAlignment="1" applyProtection="1">
      <alignment horizontal="center" vertical="center" wrapText="1"/>
      <protection locked="0"/>
    </xf>
    <xf numFmtId="49" fontId="11" fillId="2" borderId="1" xfId="2" applyNumberFormat="1" applyFont="1" applyFill="1" applyBorder="1" applyAlignment="1" applyProtection="1">
      <alignment horizontal="left" vertical="center" wrapText="1"/>
      <protection locked="0"/>
    </xf>
    <xf numFmtId="4" fontId="11" fillId="2" borderId="2" xfId="2" applyNumberFormat="1" applyFont="1" applyFill="1" applyBorder="1" applyAlignment="1" applyProtection="1">
      <alignment horizontal="right" vertical="center" wrapText="1"/>
      <protection locked="0"/>
    </xf>
    <xf numFmtId="4" fontId="12" fillId="0" borderId="3" xfId="2" applyNumberFormat="1" applyFont="1" applyFill="1" applyBorder="1" applyAlignment="1" applyProtection="1">
      <alignment horizontal="right" vertical="center" wrapText="1"/>
      <protection locked="0"/>
    </xf>
    <xf numFmtId="10" fontId="12" fillId="0" borderId="3" xfId="2" applyNumberFormat="1" applyFont="1" applyFill="1" applyBorder="1" applyAlignment="1" applyProtection="1">
      <alignment horizontal="right" vertical="center" wrapText="1"/>
      <protection locked="0"/>
    </xf>
    <xf numFmtId="4" fontId="12" fillId="0" borderId="4" xfId="2" applyNumberFormat="1" applyFont="1" applyFill="1" applyBorder="1" applyAlignment="1" applyProtection="1">
      <alignment horizontal="right" vertical="center" wrapText="1"/>
      <protection locked="0"/>
    </xf>
    <xf numFmtId="4" fontId="12" fillId="0" borderId="5" xfId="2" applyNumberFormat="1" applyFont="1" applyFill="1" applyBorder="1" applyAlignment="1" applyProtection="1">
      <alignment horizontal="right" vertical="center" wrapText="1"/>
      <protection locked="0"/>
    </xf>
    <xf numFmtId="4" fontId="24" fillId="0" borderId="0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3" xfId="2" applyNumberFormat="1" applyFont="1" applyFill="1" applyBorder="1" applyAlignment="1" applyProtection="1">
      <alignment horizontal="right" vertical="center" wrapText="1"/>
      <protection locked="0"/>
    </xf>
    <xf numFmtId="4" fontId="12" fillId="0" borderId="3" xfId="2" applyNumberFormat="1" applyFont="1" applyFill="1" applyBorder="1" applyAlignment="1" applyProtection="1">
      <alignment horizontal="left" vertical="center" wrapText="1"/>
      <protection locked="0"/>
    </xf>
    <xf numFmtId="10" fontId="12" fillId="8" borderId="3" xfId="2" applyNumberFormat="1" applyFont="1" applyFill="1" applyBorder="1" applyAlignment="1" applyProtection="1">
      <alignment horizontal="right" vertical="center" wrapText="1"/>
      <protection locked="0"/>
    </xf>
    <xf numFmtId="4" fontId="12" fillId="10" borderId="2" xfId="2" applyNumberFormat="1" applyFont="1" applyFill="1" applyBorder="1" applyAlignment="1" applyProtection="1">
      <alignment horizontal="right" vertical="center" wrapText="1"/>
      <protection locked="0"/>
    </xf>
    <xf numFmtId="4" fontId="12" fillId="10" borderId="7" xfId="2" applyNumberFormat="1" applyFont="1" applyFill="1" applyBorder="1" applyAlignment="1" applyProtection="1">
      <alignment horizontal="right" vertical="center" wrapText="1"/>
      <protection locked="0"/>
    </xf>
    <xf numFmtId="4" fontId="16" fillId="0" borderId="0" xfId="2" applyNumberFormat="1" applyFont="1" applyFill="1" applyBorder="1" applyAlignment="1" applyProtection="1">
      <alignment horizontal="right" vertical="center" wrapText="1"/>
      <protection locked="0"/>
    </xf>
    <xf numFmtId="4" fontId="4" fillId="0" borderId="3" xfId="2" applyNumberFormat="1" applyFont="1" applyFill="1" applyBorder="1" applyAlignment="1" applyProtection="1">
      <alignment horizontal="left" vertical="center" wrapText="1"/>
      <protection locked="0"/>
    </xf>
    <xf numFmtId="4" fontId="11" fillId="10" borderId="2" xfId="2" applyNumberFormat="1" applyFont="1" applyFill="1" applyBorder="1" applyAlignment="1" applyProtection="1">
      <alignment vertical="center" wrapText="1"/>
      <protection locked="0"/>
    </xf>
    <xf numFmtId="4" fontId="2" fillId="0" borderId="3" xfId="2" applyNumberFormat="1" applyFont="1" applyFill="1" applyBorder="1" applyAlignment="1" applyProtection="1">
      <alignment vertical="center" wrapText="1"/>
      <protection locked="0"/>
    </xf>
    <xf numFmtId="4" fontId="2" fillId="0" borderId="3" xfId="2" applyNumberFormat="1" applyFont="1" applyFill="1" applyBorder="1" applyAlignment="1" applyProtection="1">
      <alignment horizontal="left" vertical="center" wrapText="1"/>
      <protection locked="0"/>
    </xf>
    <xf numFmtId="10" fontId="9" fillId="7" borderId="3" xfId="2" applyNumberFormat="1" applyFont="1" applyFill="1" applyBorder="1" applyAlignment="1" applyProtection="1">
      <alignment horizontal="right" vertical="center" wrapText="1"/>
      <protection locked="0"/>
    </xf>
    <xf numFmtId="4" fontId="2" fillId="10" borderId="2" xfId="2" applyNumberFormat="1" applyFont="1" applyFill="1" applyBorder="1" applyAlignment="1" applyProtection="1">
      <alignment horizontal="right" vertical="center" wrapText="1"/>
      <protection locked="0"/>
    </xf>
    <xf numFmtId="4" fontId="11" fillId="10" borderId="15" xfId="2" applyNumberFormat="1" applyFont="1" applyFill="1" applyBorder="1" applyAlignment="1" applyProtection="1">
      <alignment horizontal="right" vertical="center" wrapText="1"/>
      <protection locked="0"/>
    </xf>
    <xf numFmtId="4" fontId="25" fillId="0" borderId="5" xfId="2" applyNumberFormat="1" applyFont="1" applyFill="1" applyBorder="1" applyAlignment="1" applyProtection="1">
      <alignment horizontal="right" vertical="center" wrapText="1"/>
      <protection locked="0"/>
    </xf>
    <xf numFmtId="49" fontId="11" fillId="12" borderId="1" xfId="2" applyNumberFormat="1" applyFont="1" applyFill="1" applyBorder="1" applyAlignment="1" applyProtection="1">
      <alignment horizontal="center" vertical="center" wrapText="1"/>
      <protection locked="0"/>
    </xf>
    <xf numFmtId="49" fontId="10" fillId="12" borderId="1" xfId="2" applyNumberFormat="1" applyFont="1" applyFill="1" applyBorder="1" applyAlignment="1" applyProtection="1">
      <alignment horizontal="center" vertical="center" wrapText="1"/>
      <protection locked="0"/>
    </xf>
    <xf numFmtId="49" fontId="11" fillId="12" borderId="1" xfId="2" applyNumberFormat="1" applyFont="1" applyFill="1" applyBorder="1" applyAlignment="1" applyProtection="1">
      <alignment horizontal="left" vertical="center" wrapText="1"/>
      <protection locked="0"/>
    </xf>
    <xf numFmtId="4" fontId="11" fillId="12" borderId="2" xfId="2" applyNumberFormat="1" applyFont="1" applyFill="1" applyBorder="1" applyAlignment="1" applyProtection="1">
      <alignment horizontal="right" vertical="center" wrapText="1"/>
      <protection locked="0"/>
    </xf>
    <xf numFmtId="10" fontId="11" fillId="12" borderId="2" xfId="2" applyNumberFormat="1" applyFont="1" applyFill="1" applyBorder="1" applyAlignment="1" applyProtection="1">
      <alignment horizontal="right" vertical="center" wrapText="1"/>
      <protection locked="0"/>
    </xf>
    <xf numFmtId="4" fontId="11" fillId="12" borderId="21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13" xfId="2" applyNumberFormat="1" applyFont="1" applyFill="1" applyBorder="1" applyAlignment="1" applyProtection="1">
      <alignment horizontal="right" vertical="center" wrapText="1"/>
      <protection locked="0"/>
    </xf>
    <xf numFmtId="4" fontId="12" fillId="0" borderId="0" xfId="2" applyNumberFormat="1" applyFont="1" applyFill="1" applyBorder="1" applyAlignment="1" applyProtection="1">
      <alignment horizontal="right" vertical="center" wrapText="1"/>
      <protection locked="0"/>
    </xf>
    <xf numFmtId="4" fontId="11" fillId="10" borderId="20" xfId="2" applyNumberFormat="1" applyFont="1" applyFill="1" applyBorder="1" applyAlignment="1" applyProtection="1">
      <alignment horizontal="right" vertical="center" wrapText="1"/>
      <protection locked="0"/>
    </xf>
    <xf numFmtId="4" fontId="11" fillId="10" borderId="24" xfId="2" applyNumberFormat="1" applyFont="1" applyFill="1" applyBorder="1" applyAlignment="1" applyProtection="1">
      <alignment horizontal="right" vertical="center" wrapText="1"/>
      <protection locked="0"/>
    </xf>
    <xf numFmtId="4" fontId="11" fillId="10" borderId="12" xfId="2" applyNumberFormat="1" applyFont="1" applyFill="1" applyBorder="1" applyAlignment="1" applyProtection="1">
      <alignment horizontal="right" vertical="center" wrapText="1"/>
      <protection locked="0"/>
    </xf>
    <xf numFmtId="4" fontId="11" fillId="10" borderId="29" xfId="2" applyNumberFormat="1" applyFont="1" applyFill="1" applyBorder="1" applyAlignment="1" applyProtection="1">
      <alignment horizontal="right" vertical="center" wrapText="1"/>
      <protection locked="0"/>
    </xf>
    <xf numFmtId="49" fontId="12" fillId="5" borderId="10" xfId="2" applyNumberFormat="1" applyFont="1" applyFill="1" applyBorder="1" applyAlignment="1" applyProtection="1">
      <alignment horizontal="center" vertical="center" wrapText="1"/>
      <protection locked="0"/>
    </xf>
    <xf numFmtId="49" fontId="12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12" fillId="5" borderId="1" xfId="2" applyNumberFormat="1" applyFont="1" applyFill="1" applyBorder="1" applyAlignment="1" applyProtection="1">
      <alignment horizontal="left" vertical="center" wrapText="1"/>
      <protection locked="0"/>
    </xf>
    <xf numFmtId="4" fontId="12" fillId="5" borderId="2" xfId="2" applyNumberFormat="1" applyFont="1" applyFill="1" applyBorder="1" applyAlignment="1" applyProtection="1">
      <alignment horizontal="right" vertical="center" wrapText="1"/>
      <protection locked="0"/>
    </xf>
    <xf numFmtId="4" fontId="12" fillId="5" borderId="0" xfId="2" applyNumberFormat="1" applyFont="1" applyFill="1" applyBorder="1" applyAlignment="1" applyProtection="1">
      <alignment horizontal="right" vertical="center" wrapText="1"/>
      <protection locked="0"/>
    </xf>
    <xf numFmtId="10" fontId="12" fillId="9" borderId="3" xfId="2" applyNumberFormat="1" applyFont="1" applyFill="1" applyBorder="1" applyAlignment="1" applyProtection="1">
      <alignment horizontal="right" vertical="center" wrapText="1"/>
      <protection locked="0"/>
    </xf>
    <xf numFmtId="4" fontId="12" fillId="5" borderId="36" xfId="2" applyNumberFormat="1" applyFont="1" applyFill="1" applyBorder="1" applyAlignment="1" applyProtection="1">
      <alignment horizontal="right" vertical="center" wrapText="1"/>
      <protection locked="0"/>
    </xf>
    <xf numFmtId="4" fontId="24" fillId="5" borderId="0" xfId="2" applyNumberFormat="1" applyFont="1" applyFill="1" applyBorder="1" applyAlignment="1" applyProtection="1">
      <alignment horizontal="right" vertical="center" wrapText="1"/>
      <protection locked="0"/>
    </xf>
    <xf numFmtId="4" fontId="12" fillId="5" borderId="3" xfId="2" applyNumberFormat="1" applyFont="1" applyFill="1" applyBorder="1" applyAlignment="1" applyProtection="1">
      <alignment horizontal="right" vertical="center" wrapText="1"/>
      <protection locked="0"/>
    </xf>
    <xf numFmtId="0" fontId="12" fillId="9" borderId="0" xfId="2" applyNumberFormat="1" applyFont="1" applyFill="1" applyBorder="1" applyAlignment="1" applyProtection="1">
      <alignment horizontal="left"/>
      <protection locked="0"/>
    </xf>
    <xf numFmtId="4" fontId="5" fillId="3" borderId="2" xfId="2" applyNumberFormat="1" applyFont="1" applyFill="1" applyBorder="1" applyAlignment="1" applyProtection="1">
      <alignment horizontal="right" vertical="center" wrapText="1"/>
      <protection locked="0"/>
    </xf>
    <xf numFmtId="4" fontId="9" fillId="3" borderId="2" xfId="2" applyNumberFormat="1" applyFont="1" applyFill="1" applyBorder="1" applyAlignment="1" applyProtection="1">
      <alignment horizontal="right" vertical="center" wrapText="1"/>
      <protection locked="0"/>
    </xf>
    <xf numFmtId="4" fontId="9" fillId="3" borderId="7" xfId="2" applyNumberFormat="1" applyFont="1" applyFill="1" applyBorder="1" applyAlignment="1" applyProtection="1">
      <alignment horizontal="right" vertical="center" wrapText="1"/>
      <protection locked="0"/>
    </xf>
    <xf numFmtId="4" fontId="12" fillId="2" borderId="2" xfId="2" applyNumberFormat="1" applyFont="1" applyFill="1" applyBorder="1" applyAlignment="1" applyProtection="1">
      <alignment horizontal="right" vertical="center" wrapText="1"/>
      <protection locked="0"/>
    </xf>
    <xf numFmtId="10" fontId="11" fillId="10" borderId="12" xfId="2" applyNumberFormat="1" applyFont="1" applyFill="1" applyBorder="1" applyAlignment="1" applyProtection="1">
      <alignment horizontal="right" vertical="center" wrapText="1"/>
      <protection locked="0"/>
    </xf>
    <xf numFmtId="10" fontId="12" fillId="5" borderId="3" xfId="2" applyNumberFormat="1" applyFont="1" applyFill="1" applyBorder="1" applyAlignment="1" applyProtection="1">
      <alignment horizontal="right" vertical="center" wrapText="1"/>
      <protection locked="0"/>
    </xf>
    <xf numFmtId="4" fontId="12" fillId="0" borderId="3" xfId="2" applyNumberFormat="1" applyFont="1" applyFill="1" applyBorder="1" applyAlignment="1" applyProtection="1">
      <alignment vertical="center" wrapText="1"/>
      <protection locked="0"/>
    </xf>
    <xf numFmtId="10" fontId="12" fillId="0" borderId="3" xfId="2" applyNumberFormat="1" applyFont="1" applyFill="1" applyBorder="1" applyAlignment="1" applyProtection="1">
      <alignment vertical="center" wrapText="1"/>
      <protection locked="0"/>
    </xf>
    <xf numFmtId="4" fontId="12" fillId="0" borderId="4" xfId="2" applyNumberFormat="1" applyFont="1" applyFill="1" applyBorder="1" applyAlignment="1" applyProtection="1">
      <alignment vertical="center" wrapText="1"/>
      <protection locked="0"/>
    </xf>
    <xf numFmtId="4" fontId="12" fillId="0" borderId="5" xfId="2" applyNumberFormat="1" applyFont="1" applyFill="1" applyBorder="1" applyAlignment="1" applyProtection="1">
      <alignment vertical="center" wrapText="1"/>
      <protection locked="0"/>
    </xf>
    <xf numFmtId="4" fontId="12" fillId="10" borderId="2" xfId="2" applyNumberFormat="1" applyFont="1" applyFill="1" applyBorder="1" applyAlignment="1" applyProtection="1">
      <alignment vertical="center" wrapText="1"/>
      <protection locked="0"/>
    </xf>
    <xf numFmtId="10" fontId="12" fillId="8" borderId="3" xfId="2" applyNumberFormat="1" applyFont="1" applyFill="1" applyBorder="1" applyAlignment="1" applyProtection="1">
      <alignment vertical="center" wrapText="1"/>
      <protection locked="0"/>
    </xf>
    <xf numFmtId="4" fontId="12" fillId="10" borderId="7" xfId="2" applyNumberFormat="1" applyFont="1" applyFill="1" applyBorder="1" applyAlignment="1" applyProtection="1">
      <alignment vertical="center" wrapText="1"/>
      <protection locked="0"/>
    </xf>
    <xf numFmtId="49" fontId="11" fillId="5" borderId="10" xfId="2" applyNumberFormat="1" applyFont="1" applyFill="1" applyBorder="1" applyAlignment="1" applyProtection="1">
      <alignment horizontal="center" vertical="center" wrapText="1"/>
      <protection locked="0"/>
    </xf>
    <xf numFmtId="49" fontId="11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11" fillId="5" borderId="1" xfId="2" applyNumberFormat="1" applyFont="1" applyFill="1" applyBorder="1" applyAlignment="1" applyProtection="1">
      <alignment horizontal="left" vertical="center" wrapText="1"/>
      <protection locked="0"/>
    </xf>
    <xf numFmtId="4" fontId="11" fillId="5" borderId="2" xfId="2" applyNumberFormat="1" applyFont="1" applyFill="1" applyBorder="1" applyAlignment="1" applyProtection="1">
      <alignment horizontal="right" vertical="center" wrapText="1"/>
      <protection locked="0"/>
    </xf>
    <xf numFmtId="4" fontId="12" fillId="9" borderId="3" xfId="2" applyNumberFormat="1" applyFont="1" applyFill="1" applyBorder="1" applyAlignment="1" applyProtection="1">
      <alignment horizontal="right" vertical="center" wrapText="1"/>
      <protection locked="0"/>
    </xf>
    <xf numFmtId="4" fontId="2" fillId="9" borderId="3" xfId="2" applyNumberFormat="1" applyFont="1" applyFill="1" applyBorder="1" applyAlignment="1" applyProtection="1">
      <alignment horizontal="right" vertical="center" wrapText="1"/>
      <protection locked="0"/>
    </xf>
    <xf numFmtId="10" fontId="12" fillId="10" borderId="2" xfId="2" applyNumberFormat="1" applyFont="1" applyFill="1" applyBorder="1" applyAlignment="1" applyProtection="1">
      <alignment horizontal="right" vertical="center" wrapText="1"/>
      <protection locked="0"/>
    </xf>
    <xf numFmtId="49" fontId="11" fillId="2" borderId="11" xfId="2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2" applyNumberFormat="1" applyFont="1" applyFill="1" applyBorder="1" applyAlignment="1" applyProtection="1">
      <alignment horizontal="left" vertical="center" wrapText="1"/>
      <protection locked="0"/>
    </xf>
    <xf numFmtId="4" fontId="11" fillId="2" borderId="12" xfId="2" applyNumberFormat="1" applyFont="1" applyFill="1" applyBorder="1" applyAlignment="1" applyProtection="1">
      <alignment horizontal="right" vertical="center" wrapText="1"/>
      <protection locked="0"/>
    </xf>
    <xf numFmtId="4" fontId="12" fillId="0" borderId="13" xfId="2" applyNumberFormat="1" applyFont="1" applyFill="1" applyBorder="1" applyAlignment="1" applyProtection="1">
      <alignment horizontal="right" vertical="center" wrapText="1"/>
      <protection locked="0"/>
    </xf>
    <xf numFmtId="10" fontId="12" fillId="0" borderId="13" xfId="2" applyNumberFormat="1" applyFont="1" applyFill="1" applyBorder="1" applyAlignment="1" applyProtection="1">
      <alignment horizontal="right" vertical="center" wrapText="1"/>
      <protection locked="0"/>
    </xf>
    <xf numFmtId="4" fontId="12" fillId="0" borderId="14" xfId="2" applyNumberFormat="1" applyFont="1" applyFill="1" applyBorder="1" applyAlignment="1" applyProtection="1">
      <alignment horizontal="right" vertical="center" wrapText="1"/>
      <protection locked="0"/>
    </xf>
    <xf numFmtId="4" fontId="12" fillId="0" borderId="15" xfId="2" applyNumberFormat="1" applyFont="1" applyFill="1" applyBorder="1" applyAlignment="1" applyProtection="1">
      <alignment horizontal="right" vertical="center" wrapText="1"/>
      <protection locked="0"/>
    </xf>
    <xf numFmtId="4" fontId="4" fillId="0" borderId="13" xfId="2" applyNumberFormat="1" applyFont="1" applyFill="1" applyBorder="1" applyAlignment="1" applyProtection="1">
      <alignment horizontal="left" vertical="center" wrapText="1"/>
      <protection locked="0"/>
    </xf>
    <xf numFmtId="49" fontId="11" fillId="2" borderId="25" xfId="2" applyNumberFormat="1" applyFont="1" applyFill="1" applyBorder="1" applyAlignment="1" applyProtection="1">
      <alignment horizontal="center" vertical="center" wrapText="1"/>
      <protection locked="0"/>
    </xf>
    <xf numFmtId="49" fontId="11" fillId="10" borderId="3" xfId="2" applyNumberFormat="1" applyFont="1" applyFill="1" applyBorder="1" applyAlignment="1" applyProtection="1">
      <alignment horizontal="center" vertical="center" wrapText="1"/>
      <protection locked="0"/>
    </xf>
    <xf numFmtId="49" fontId="11" fillId="10" borderId="1" xfId="1" applyNumberFormat="1" applyFont="1" applyFill="1" applyBorder="1" applyAlignment="1" applyProtection="1">
      <alignment horizontal="left" vertical="center" wrapText="1"/>
      <protection locked="0"/>
    </xf>
    <xf numFmtId="4" fontId="11" fillId="10" borderId="3" xfId="2" applyNumberFormat="1" applyFont="1" applyFill="1" applyBorder="1" applyAlignment="1" applyProtection="1">
      <alignment horizontal="right" vertical="center" wrapText="1"/>
      <protection locked="0"/>
    </xf>
    <xf numFmtId="4" fontId="12" fillId="8" borderId="4" xfId="2" applyNumberFormat="1" applyFont="1" applyFill="1" applyBorder="1" applyAlignment="1" applyProtection="1">
      <alignment horizontal="right" vertical="center" wrapText="1"/>
      <protection locked="0"/>
    </xf>
    <xf numFmtId="4" fontId="12" fillId="8" borderId="5" xfId="2" applyNumberFormat="1" applyFont="1" applyFill="1" applyBorder="1" applyAlignment="1" applyProtection="1">
      <alignment horizontal="right" vertical="center" wrapText="1"/>
      <protection locked="0"/>
    </xf>
    <xf numFmtId="4" fontId="2" fillId="8" borderId="3" xfId="2" applyNumberFormat="1" applyFont="1" applyFill="1" applyBorder="1" applyAlignment="1" applyProtection="1">
      <alignment horizontal="right" vertical="center" wrapText="1"/>
      <protection locked="0"/>
    </xf>
    <xf numFmtId="4" fontId="4" fillId="8" borderId="3" xfId="2" applyNumberFormat="1" applyFont="1" applyFill="1" applyBorder="1" applyAlignment="1" applyProtection="1">
      <alignment horizontal="left" vertical="center" wrapText="1"/>
      <protection locked="0"/>
    </xf>
    <xf numFmtId="49" fontId="11" fillId="2" borderId="3" xfId="2" applyNumberFormat="1" applyFont="1" applyFill="1" applyBorder="1" applyAlignment="1" applyProtection="1">
      <alignment horizontal="center" vertical="center" wrapText="1"/>
      <protection locked="0"/>
    </xf>
    <xf numFmtId="4" fontId="11" fillId="2" borderId="3" xfId="2" applyNumberFormat="1" applyFont="1" applyFill="1" applyBorder="1" applyAlignment="1" applyProtection="1">
      <alignment horizontal="right" vertical="center" wrapText="1"/>
      <protection locked="0"/>
    </xf>
    <xf numFmtId="49" fontId="8" fillId="3" borderId="19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19" xfId="2" applyNumberFormat="1" applyFont="1" applyFill="1" applyBorder="1" applyAlignment="1" applyProtection="1">
      <alignment horizontal="left" vertical="center" wrapText="1"/>
      <protection locked="0"/>
    </xf>
    <xf numFmtId="4" fontId="8" fillId="3" borderId="20" xfId="2" applyNumberFormat="1" applyFont="1" applyFill="1" applyBorder="1" applyAlignment="1" applyProtection="1">
      <alignment horizontal="right" vertical="center" wrapText="1"/>
      <protection locked="0"/>
    </xf>
    <xf numFmtId="4" fontId="9" fillId="3" borderId="20" xfId="2" applyNumberFormat="1" applyFont="1" applyFill="1" applyBorder="1" applyAlignment="1" applyProtection="1">
      <alignment horizontal="right" vertical="center" wrapText="1"/>
      <protection locked="0"/>
    </xf>
    <xf numFmtId="4" fontId="9" fillId="3" borderId="21" xfId="2" applyNumberFormat="1" applyFont="1" applyFill="1" applyBorder="1" applyAlignment="1" applyProtection="1">
      <alignment horizontal="right" vertical="center" wrapText="1"/>
      <protection locked="0"/>
    </xf>
    <xf numFmtId="4" fontId="8" fillId="3" borderId="23" xfId="2" applyNumberFormat="1" applyFont="1" applyFill="1" applyBorder="1" applyAlignment="1" applyProtection="1">
      <alignment horizontal="right" vertical="center" wrapText="1"/>
      <protection locked="0"/>
    </xf>
    <xf numFmtId="49" fontId="11" fillId="10" borderId="3" xfId="2" applyNumberFormat="1" applyFont="1" applyFill="1" applyBorder="1" applyAlignment="1" applyProtection="1">
      <alignment horizontal="left" vertical="center" wrapText="1"/>
      <protection locked="0"/>
    </xf>
    <xf numFmtId="4" fontId="12" fillId="10" borderId="3" xfId="2" applyNumberFormat="1" applyFont="1" applyFill="1" applyBorder="1" applyAlignment="1" applyProtection="1">
      <alignment horizontal="right" vertical="center" wrapText="1"/>
      <protection locked="0"/>
    </xf>
    <xf numFmtId="4" fontId="12" fillId="10" borderId="4" xfId="2" applyNumberFormat="1" applyFont="1" applyFill="1" applyBorder="1" applyAlignment="1" applyProtection="1">
      <alignment horizontal="right" vertical="center" wrapText="1"/>
      <protection locked="0"/>
    </xf>
    <xf numFmtId="4" fontId="12" fillId="10" borderId="5" xfId="2" applyNumberFormat="1" applyFont="1" applyFill="1" applyBorder="1" applyAlignment="1" applyProtection="1">
      <alignment horizontal="right" vertical="center" wrapText="1"/>
      <protection locked="0"/>
    </xf>
    <xf numFmtId="4" fontId="11" fillId="10" borderId="6" xfId="2" applyNumberFormat="1" applyFont="1" applyFill="1" applyBorder="1" applyAlignment="1" applyProtection="1">
      <alignment horizontal="right" vertical="center" wrapText="1"/>
      <protection locked="0"/>
    </xf>
    <xf numFmtId="49" fontId="11" fillId="2" borderId="42" xfId="2" applyNumberFormat="1" applyFont="1" applyFill="1" applyBorder="1" applyAlignment="1" applyProtection="1">
      <alignment horizontal="center" vertical="center" wrapText="1"/>
      <protection locked="0"/>
    </xf>
    <xf numFmtId="49" fontId="11" fillId="2" borderId="3" xfId="2" applyNumberFormat="1" applyFont="1" applyFill="1" applyBorder="1" applyAlignment="1" applyProtection="1">
      <alignment horizontal="left" vertical="center" wrapText="1"/>
      <protection locked="0"/>
    </xf>
    <xf numFmtId="49" fontId="10" fillId="2" borderId="25" xfId="2" applyNumberFormat="1" applyFont="1" applyFill="1" applyBorder="1" applyAlignment="1" applyProtection="1">
      <alignment horizontal="center" vertical="center" wrapText="1"/>
      <protection locked="0"/>
    </xf>
    <xf numFmtId="49" fontId="10" fillId="10" borderId="18" xfId="2" applyNumberFormat="1" applyFont="1" applyFill="1" applyBorder="1" applyAlignment="1" applyProtection="1">
      <alignment horizontal="center" vertical="center" wrapText="1"/>
      <protection locked="0"/>
    </xf>
    <xf numFmtId="49" fontId="11" fillId="10" borderId="19" xfId="2" applyNumberFormat="1" applyFont="1" applyFill="1" applyBorder="1" applyAlignment="1" applyProtection="1">
      <alignment horizontal="left" vertical="center" wrapText="1"/>
      <protection locked="0"/>
    </xf>
    <xf numFmtId="4" fontId="12" fillId="10" borderId="20" xfId="2" applyNumberFormat="1" applyFont="1" applyFill="1" applyBorder="1" applyAlignment="1" applyProtection="1">
      <alignment horizontal="right" vertical="center" wrapText="1"/>
      <protection locked="0"/>
    </xf>
    <xf numFmtId="10" fontId="12" fillId="10" borderId="20" xfId="2" applyNumberFormat="1" applyFont="1" applyFill="1" applyBorder="1" applyAlignment="1" applyProtection="1">
      <alignment horizontal="right" vertical="center" wrapText="1"/>
      <protection locked="0"/>
    </xf>
    <xf numFmtId="4" fontId="12" fillId="10" borderId="21" xfId="2" applyNumberFormat="1" applyFont="1" applyFill="1" applyBorder="1" applyAlignment="1" applyProtection="1">
      <alignment horizontal="right" vertical="center" wrapText="1"/>
      <protection locked="0"/>
    </xf>
    <xf numFmtId="4" fontId="8" fillId="3" borderId="24" xfId="2" applyNumberFormat="1" applyFont="1" applyFill="1" applyBorder="1" applyAlignment="1" applyProtection="1">
      <alignment horizontal="right" vertical="center" wrapText="1"/>
      <protection locked="0"/>
    </xf>
    <xf numFmtId="4" fontId="13" fillId="2" borderId="8" xfId="2" applyNumberFormat="1" applyFont="1" applyFill="1" applyBorder="1" applyAlignment="1" applyProtection="1">
      <alignment horizontal="right" vertical="center" wrapText="1"/>
      <protection locked="0"/>
    </xf>
    <xf numFmtId="4" fontId="13" fillId="2" borderId="3" xfId="2" applyNumberFormat="1" applyFont="1" applyFill="1" applyBorder="1" applyAlignment="1" applyProtection="1">
      <alignment horizontal="right" vertical="center" wrapText="1"/>
      <protection locked="0"/>
    </xf>
    <xf numFmtId="10" fontId="13" fillId="2" borderId="3" xfId="2" applyNumberFormat="1" applyFont="1" applyFill="1" applyBorder="1" applyAlignment="1" applyProtection="1">
      <alignment horizontal="right" vertical="center" wrapText="1"/>
      <protection locked="0"/>
    </xf>
    <xf numFmtId="4" fontId="13" fillId="2" borderId="7" xfId="2" applyNumberFormat="1" applyFont="1" applyFill="1" applyBorder="1" applyAlignment="1" applyProtection="1">
      <alignment horizontal="right" vertical="center" wrapText="1"/>
      <protection locked="0"/>
    </xf>
    <xf numFmtId="4" fontId="5" fillId="2" borderId="3" xfId="2" applyNumberFormat="1" applyFont="1" applyFill="1" applyBorder="1" applyAlignment="1" applyProtection="1">
      <alignment horizontal="right" vertical="center" wrapText="1"/>
      <protection locked="0"/>
    </xf>
    <xf numFmtId="4" fontId="14" fillId="0" borderId="0" xfId="2" applyNumberFormat="1" applyFont="1" applyFill="1" applyBorder="1" applyAlignment="1" applyProtection="1">
      <alignment horizontal="left"/>
      <protection locked="0"/>
    </xf>
    <xf numFmtId="0" fontId="7" fillId="0" borderId="0" xfId="2" applyNumberFormat="1" applyFont="1" applyFill="1" applyBorder="1" applyAlignment="1" applyProtection="1">
      <alignment horizontal="right" vertical="center"/>
      <protection locked="0"/>
    </xf>
    <xf numFmtId="4" fontId="27" fillId="0" borderId="0" xfId="2" applyNumberFormat="1" applyFont="1" applyFill="1" applyBorder="1" applyAlignment="1" applyProtection="1">
      <alignment horizontal="right"/>
      <protection locked="0"/>
    </xf>
    <xf numFmtId="4" fontId="16" fillId="0" borderId="0" xfId="2" applyNumberFormat="1" applyFont="1" applyFill="1" applyBorder="1" applyAlignment="1" applyProtection="1">
      <alignment horizontal="right"/>
      <protection locked="0"/>
    </xf>
    <xf numFmtId="4" fontId="28" fillId="0" borderId="0" xfId="2" applyNumberFormat="1" applyFont="1" applyFill="1" applyBorder="1" applyAlignment="1" applyProtection="1">
      <alignment horizontal="right"/>
      <protection locked="0"/>
    </xf>
    <xf numFmtId="4" fontId="29" fillId="0" borderId="0" xfId="2" applyNumberFormat="1" applyFont="1" applyFill="1" applyBorder="1" applyAlignment="1" applyProtection="1">
      <alignment horizontal="right"/>
      <protection locked="0"/>
    </xf>
    <xf numFmtId="0" fontId="4" fillId="0" borderId="37" xfId="2" applyNumberFormat="1" applyFont="1" applyFill="1" applyBorder="1" applyAlignment="1" applyProtection="1">
      <alignment horizontal="left"/>
      <protection locked="0"/>
    </xf>
    <xf numFmtId="0" fontId="7" fillId="0" borderId="37" xfId="2" applyNumberFormat="1" applyFont="1" applyFill="1" applyBorder="1" applyAlignment="1" applyProtection="1">
      <alignment horizontal="left" vertical="center"/>
      <protection locked="0"/>
    </xf>
    <xf numFmtId="4" fontId="7" fillId="0" borderId="37" xfId="2" applyNumberFormat="1" applyFont="1" applyFill="1" applyBorder="1" applyAlignment="1" applyProtection="1">
      <alignment horizontal="right" vertical="center"/>
      <protection locked="0"/>
    </xf>
    <xf numFmtId="10" fontId="7" fillId="0" borderId="37" xfId="2" applyNumberFormat="1" applyFont="1" applyFill="1" applyBorder="1" applyAlignment="1" applyProtection="1">
      <alignment horizontal="right" vertical="center"/>
      <protection locked="0"/>
    </xf>
    <xf numFmtId="4" fontId="26" fillId="0" borderId="37" xfId="2" applyNumberFormat="1" applyFont="1" applyFill="1" applyBorder="1" applyAlignment="1" applyProtection="1">
      <alignment horizontal="right" vertical="center"/>
      <protection locked="0"/>
    </xf>
    <xf numFmtId="4" fontId="5" fillId="0" borderId="37" xfId="2" applyNumberFormat="1" applyFont="1" applyFill="1" applyBorder="1" applyAlignment="1" applyProtection="1">
      <alignment horizontal="right" vertical="center"/>
      <protection locked="0"/>
    </xf>
    <xf numFmtId="4" fontId="13" fillId="0" borderId="37" xfId="2" applyNumberFormat="1" applyFont="1" applyFill="1" applyBorder="1" applyAlignment="1" applyProtection="1">
      <alignment horizontal="right" vertical="center"/>
      <protection locked="0"/>
    </xf>
    <xf numFmtId="0" fontId="4" fillId="0" borderId="37" xfId="2" applyNumberFormat="1" applyFont="1" applyFill="1" applyBorder="1" applyAlignment="1" applyProtection="1">
      <alignment horizontal="right" vertical="top"/>
      <protection locked="0"/>
    </xf>
    <xf numFmtId="4" fontId="2" fillId="0" borderId="37" xfId="2" applyNumberFormat="1" applyFont="1" applyFill="1" applyBorder="1" applyAlignment="1" applyProtection="1">
      <alignment horizontal="right"/>
      <protection locked="0"/>
    </xf>
    <xf numFmtId="10" fontId="18" fillId="0" borderId="37" xfId="2" applyNumberFormat="1" applyFont="1" applyFill="1" applyBorder="1" applyAlignment="1" applyProtection="1">
      <alignment horizontal="right" vertical="top"/>
      <protection locked="0"/>
    </xf>
    <xf numFmtId="10" fontId="30" fillId="0" borderId="37" xfId="2" applyNumberFormat="1" applyFont="1" applyFill="1" applyBorder="1" applyAlignment="1" applyProtection="1">
      <alignment horizontal="right"/>
      <protection locked="0"/>
    </xf>
    <xf numFmtId="0" fontId="4" fillId="0" borderId="43" xfId="2" applyNumberFormat="1" applyFont="1" applyFill="1" applyBorder="1" applyAlignment="1" applyProtection="1">
      <alignment horizontal="right" vertical="top"/>
      <protection locked="0"/>
    </xf>
    <xf numFmtId="0" fontId="18" fillId="0" borderId="37" xfId="2" applyNumberFormat="1" applyFont="1" applyFill="1" applyBorder="1" applyAlignment="1" applyProtection="1">
      <alignment horizontal="left" vertical="top" wrapText="1"/>
      <protection locked="0"/>
    </xf>
    <xf numFmtId="4" fontId="18" fillId="0" borderId="37" xfId="2" applyNumberFormat="1" applyFont="1" applyFill="1" applyBorder="1" applyAlignment="1" applyProtection="1">
      <alignment horizontal="right"/>
      <protection locked="0"/>
    </xf>
    <xf numFmtId="10" fontId="18" fillId="0" borderId="37" xfId="2" applyNumberFormat="1" applyFont="1" applyFill="1" applyBorder="1" applyAlignment="1" applyProtection="1">
      <alignment horizontal="right"/>
      <protection locked="0"/>
    </xf>
    <xf numFmtId="0" fontId="4" fillId="0" borderId="44" xfId="2" applyNumberFormat="1" applyFont="1" applyFill="1" applyBorder="1" applyAlignment="1" applyProtection="1">
      <alignment horizontal="right" vertical="top"/>
      <protection locked="0"/>
    </xf>
    <xf numFmtId="0" fontId="4" fillId="0" borderId="37" xfId="2" applyNumberFormat="1" applyFont="1" applyFill="1" applyBorder="1" applyAlignment="1" applyProtection="1">
      <alignment horizontal="left" wrapText="1"/>
      <protection locked="0"/>
    </xf>
    <xf numFmtId="4" fontId="31" fillId="0" borderId="37" xfId="2" applyNumberFormat="1" applyFont="1" applyFill="1" applyBorder="1" applyAlignment="1" applyProtection="1">
      <alignment horizontal="right"/>
      <protection locked="0"/>
    </xf>
    <xf numFmtId="4" fontId="4" fillId="0" borderId="37" xfId="2" applyNumberFormat="1" applyFont="1" applyFill="1" applyBorder="1" applyAlignment="1" applyProtection="1">
      <alignment horizontal="right"/>
      <protection locked="0"/>
    </xf>
    <xf numFmtId="4" fontId="4" fillId="0" borderId="37" xfId="2" applyNumberFormat="1" applyFont="1" applyFill="1" applyBorder="1" applyAlignment="1" applyProtection="1">
      <alignment horizontal="right" vertical="top"/>
      <protection locked="0"/>
    </xf>
    <xf numFmtId="10" fontId="30" fillId="0" borderId="37" xfId="2" applyNumberFormat="1" applyFont="1" applyFill="1" applyBorder="1" applyAlignment="1" applyProtection="1">
      <alignment horizontal="right" vertical="top"/>
      <protection locked="0"/>
    </xf>
    <xf numFmtId="0" fontId="4" fillId="0" borderId="45" xfId="2" applyNumberFormat="1" applyFont="1" applyFill="1" applyBorder="1" applyAlignment="1" applyProtection="1">
      <alignment horizontal="right" vertical="top"/>
      <protection locked="0"/>
    </xf>
    <xf numFmtId="0" fontId="17" fillId="0" borderId="39" xfId="2" applyNumberFormat="1" applyFont="1" applyFill="1" applyBorder="1" applyAlignment="1" applyProtection="1">
      <alignment horizontal="left" wrapText="1"/>
      <protection locked="0"/>
    </xf>
    <xf numFmtId="0" fontId="4" fillId="0" borderId="40" xfId="2" applyNumberFormat="1" applyFont="1" applyFill="1" applyBorder="1" applyAlignment="1" applyProtection="1">
      <alignment horizontal="left"/>
      <protection locked="0"/>
    </xf>
    <xf numFmtId="0" fontId="16" fillId="0" borderId="40" xfId="2" applyNumberFormat="1" applyFont="1" applyFill="1" applyBorder="1" applyAlignment="1" applyProtection="1">
      <alignment horizontal="left"/>
      <protection locked="0"/>
    </xf>
    <xf numFmtId="0" fontId="31" fillId="0" borderId="40" xfId="2" applyNumberFormat="1" applyFont="1" applyFill="1" applyBorder="1" applyAlignment="1" applyProtection="1">
      <alignment horizontal="left"/>
      <protection locked="0"/>
    </xf>
    <xf numFmtId="4" fontId="30" fillId="0" borderId="37" xfId="2" applyNumberFormat="1" applyFont="1" applyFill="1" applyBorder="1" applyAlignment="1" applyProtection="1">
      <alignment horizontal="right"/>
      <protection locked="0"/>
    </xf>
    <xf numFmtId="4" fontId="32" fillId="0" borderId="37" xfId="2" applyNumberFormat="1" applyFont="1" applyFill="1" applyBorder="1" applyAlignment="1" applyProtection="1">
      <alignment horizontal="right"/>
      <protection locked="0"/>
    </xf>
    <xf numFmtId="4" fontId="33" fillId="0" borderId="37" xfId="2" applyNumberFormat="1" applyFont="1" applyFill="1" applyBorder="1" applyAlignment="1" applyProtection="1">
      <alignment horizontal="right"/>
      <protection locked="0"/>
    </xf>
    <xf numFmtId="0" fontId="7" fillId="0" borderId="37" xfId="2" applyNumberFormat="1" applyFont="1" applyFill="1" applyBorder="1" applyAlignment="1" applyProtection="1">
      <alignment horizontal="left" vertical="center" wrapText="1"/>
      <protection locked="0"/>
    </xf>
    <xf numFmtId="10" fontId="13" fillId="0" borderId="37" xfId="2" applyNumberFormat="1" applyFont="1" applyFill="1" applyBorder="1" applyAlignment="1" applyProtection="1">
      <alignment horizontal="right" vertical="center"/>
      <protection locked="0"/>
    </xf>
    <xf numFmtId="0" fontId="4" fillId="0" borderId="40" xfId="2" applyNumberFormat="1" applyFont="1" applyFill="1" applyBorder="1" applyAlignment="1" applyProtection="1">
      <alignment horizontal="right" vertical="top"/>
      <protection locked="0"/>
    </xf>
    <xf numFmtId="0" fontId="7" fillId="0" borderId="40" xfId="2" applyNumberFormat="1" applyFont="1" applyFill="1" applyBorder="1" applyAlignment="1" applyProtection="1">
      <alignment horizontal="left" wrapText="1"/>
      <protection locked="0"/>
    </xf>
    <xf numFmtId="0" fontId="17" fillId="0" borderId="37" xfId="2" applyNumberFormat="1" applyFont="1" applyFill="1" applyBorder="1" applyAlignment="1" applyProtection="1">
      <alignment horizontal="right" vertical="top"/>
      <protection locked="0"/>
    </xf>
    <xf numFmtId="0" fontId="17" fillId="0" borderId="37" xfId="2" applyNumberFormat="1" applyFont="1" applyFill="1" applyBorder="1" applyAlignment="1" applyProtection="1">
      <alignment horizontal="left" vertical="top" wrapText="1"/>
      <protection locked="0"/>
    </xf>
    <xf numFmtId="4" fontId="30" fillId="0" borderId="37" xfId="2" applyNumberFormat="1" applyFont="1" applyFill="1" applyBorder="1" applyAlignment="1" applyProtection="1">
      <alignment horizontal="right" vertical="top"/>
      <protection locked="0"/>
    </xf>
    <xf numFmtId="4" fontId="32" fillId="0" borderId="37" xfId="2" applyNumberFormat="1" applyFont="1" applyFill="1" applyBorder="1" applyAlignment="1" applyProtection="1">
      <alignment horizontal="right" vertical="top"/>
      <protection locked="0"/>
    </xf>
    <xf numFmtId="0" fontId="17" fillId="0" borderId="37" xfId="2" applyNumberFormat="1" applyFont="1" applyFill="1" applyBorder="1" applyAlignment="1" applyProtection="1">
      <alignment horizontal="left" vertical="top"/>
      <protection locked="0"/>
    </xf>
    <xf numFmtId="0" fontId="4" fillId="0" borderId="46" xfId="2" applyNumberFormat="1" applyFont="1" applyFill="1" applyBorder="1" applyAlignment="1" applyProtection="1">
      <alignment horizontal="right" vertical="top"/>
      <protection locked="0"/>
    </xf>
    <xf numFmtId="0" fontId="7" fillId="0" borderId="40" xfId="2" applyNumberFormat="1" applyFont="1" applyFill="1" applyBorder="1" applyAlignment="1" applyProtection="1">
      <alignment horizontal="left"/>
      <protection locked="0"/>
    </xf>
    <xf numFmtId="0" fontId="2" fillId="0" borderId="40" xfId="2" applyNumberFormat="1" applyFont="1" applyFill="1" applyBorder="1" applyAlignment="1" applyProtection="1">
      <alignment horizontal="left"/>
      <protection locked="0"/>
    </xf>
    <xf numFmtId="0" fontId="18" fillId="0" borderId="37" xfId="2" applyNumberFormat="1" applyFont="1" applyFill="1" applyBorder="1" applyAlignment="1" applyProtection="1">
      <alignment horizontal="left" wrapText="1"/>
      <protection locked="0"/>
    </xf>
    <xf numFmtId="0" fontId="4" fillId="0" borderId="0" xfId="2" applyNumberFormat="1" applyFont="1" applyFill="1" applyBorder="1" applyAlignment="1" applyProtection="1">
      <alignment horizontal="right" vertical="top"/>
      <protection locked="0"/>
    </xf>
    <xf numFmtId="0" fontId="16" fillId="0" borderId="0" xfId="2" applyNumberFormat="1" applyFont="1" applyFill="1" applyBorder="1" applyAlignment="1" applyProtection="1">
      <alignment horizontal="left"/>
      <protection locked="0"/>
    </xf>
    <xf numFmtId="0" fontId="19" fillId="0" borderId="0" xfId="41"/>
    <xf numFmtId="0" fontId="34" fillId="0" borderId="47" xfId="41" applyFont="1" applyBorder="1" applyAlignment="1">
      <alignment horizontal="left" vertical="center"/>
    </xf>
    <xf numFmtId="0" fontId="19" fillId="0" borderId="0" xfId="41" applyBorder="1"/>
    <xf numFmtId="0" fontId="19" fillId="0" borderId="69" xfId="41" applyFont="1" applyBorder="1" applyAlignment="1">
      <alignment vertical="top"/>
    </xf>
    <xf numFmtId="4" fontId="25" fillId="0" borderId="49" xfId="41" applyNumberFormat="1" applyFont="1" applyBorder="1" applyAlignment="1">
      <alignment vertical="top" wrapText="1"/>
    </xf>
    <xf numFmtId="0" fontId="19" fillId="0" borderId="70" xfId="41" applyFont="1" applyBorder="1" applyAlignment="1">
      <alignment vertical="top"/>
    </xf>
    <xf numFmtId="2" fontId="25" fillId="0" borderId="49" xfId="41" applyNumberFormat="1" applyFont="1" applyBorder="1" applyAlignment="1">
      <alignment vertical="top" wrapText="1"/>
    </xf>
    <xf numFmtId="0" fontId="19" fillId="0" borderId="52" xfId="41" applyFont="1" applyBorder="1" applyAlignment="1">
      <alignment vertical="top"/>
    </xf>
    <xf numFmtId="4" fontId="25" fillId="0" borderId="71" xfId="41" applyNumberFormat="1" applyFont="1" applyBorder="1" applyAlignment="1">
      <alignment vertical="top" wrapText="1"/>
    </xf>
    <xf numFmtId="0" fontId="19" fillId="0" borderId="72" xfId="41" applyFont="1" applyBorder="1" applyAlignment="1">
      <alignment vertical="top"/>
    </xf>
    <xf numFmtId="0" fontId="19" fillId="0" borderId="73" xfId="41" applyFont="1" applyBorder="1" applyAlignment="1">
      <alignment vertical="top"/>
    </xf>
    <xf numFmtId="4" fontId="25" fillId="0" borderId="74" xfId="41" applyNumberFormat="1" applyFont="1" applyBorder="1" applyAlignment="1">
      <alignment vertical="top" wrapText="1"/>
    </xf>
    <xf numFmtId="0" fontId="19" fillId="0" borderId="75" xfId="41" applyFont="1" applyBorder="1" applyAlignment="1">
      <alignment vertical="top"/>
    </xf>
    <xf numFmtId="4" fontId="25" fillId="0" borderId="76" xfId="41" applyNumberFormat="1" applyFont="1" applyBorder="1" applyAlignment="1">
      <alignment vertical="top" wrapText="1"/>
    </xf>
    <xf numFmtId="0" fontId="19" fillId="0" borderId="77" xfId="41" applyFont="1" applyBorder="1" applyAlignment="1">
      <alignment vertical="top"/>
    </xf>
    <xf numFmtId="0" fontId="19" fillId="0" borderId="78" xfId="41" applyFont="1" applyBorder="1" applyAlignment="1">
      <alignment horizontal="right" vertical="top"/>
    </xf>
    <xf numFmtId="0" fontId="19" fillId="0" borderId="78" xfId="41" applyFont="1" applyBorder="1"/>
    <xf numFmtId="4" fontId="36" fillId="0" borderId="80" xfId="41" applyNumberFormat="1" applyFont="1" applyBorder="1"/>
    <xf numFmtId="3" fontId="36" fillId="0" borderId="81" xfId="41" applyNumberFormat="1" applyFont="1" applyBorder="1"/>
    <xf numFmtId="4" fontId="36" fillId="0" borderId="82" xfId="41" applyNumberFormat="1" applyFont="1" applyBorder="1"/>
    <xf numFmtId="3" fontId="37" fillId="0" borderId="83" xfId="41" applyNumberFormat="1" applyFont="1" applyBorder="1"/>
    <xf numFmtId="4" fontId="37" fillId="0" borderId="79" xfId="41" applyNumberFormat="1" applyFont="1" applyBorder="1"/>
    <xf numFmtId="4" fontId="37" fillId="0" borderId="84" xfId="41" applyNumberFormat="1" applyFont="1" applyBorder="1"/>
    <xf numFmtId="3" fontId="37" fillId="0" borderId="85" xfId="41" applyNumberFormat="1" applyFont="1" applyBorder="1"/>
    <xf numFmtId="3" fontId="37" fillId="0" borderId="84" xfId="41" applyNumberFormat="1" applyFont="1" applyBorder="1"/>
    <xf numFmtId="4" fontId="37" fillId="0" borderId="86" xfId="41" applyNumberFormat="1" applyFont="1" applyBorder="1"/>
    <xf numFmtId="3" fontId="37" fillId="0" borderId="87" xfId="41" applyNumberFormat="1" applyFont="1" applyBorder="1"/>
    <xf numFmtId="4" fontId="37" fillId="0" borderId="88" xfId="41" applyNumberFormat="1" applyFont="1" applyBorder="1"/>
    <xf numFmtId="3" fontId="37" fillId="0" borderId="89" xfId="41" applyNumberFormat="1" applyFont="1" applyBorder="1"/>
    <xf numFmtId="4" fontId="36" fillId="0" borderId="90" xfId="41" applyNumberFormat="1" applyFont="1" applyBorder="1"/>
    <xf numFmtId="4" fontId="36" fillId="0" borderId="91" xfId="41" applyNumberFormat="1" applyFont="1" applyBorder="1"/>
    <xf numFmtId="4" fontId="36" fillId="0" borderId="92" xfId="41" applyNumberFormat="1" applyFont="1" applyBorder="1"/>
    <xf numFmtId="4" fontId="36" fillId="0" borderId="93" xfId="41" applyNumberFormat="1" applyFont="1" applyBorder="1"/>
    <xf numFmtId="4" fontId="19" fillId="0" borderId="16" xfId="41" applyNumberFormat="1" applyBorder="1"/>
    <xf numFmtId="4" fontId="19" fillId="0" borderId="94" xfId="41" applyNumberFormat="1" applyBorder="1"/>
    <xf numFmtId="0" fontId="19" fillId="0" borderId="95" xfId="41" applyBorder="1"/>
    <xf numFmtId="0" fontId="19" fillId="0" borderId="94" xfId="41" applyBorder="1"/>
    <xf numFmtId="0" fontId="19" fillId="0" borderId="16" xfId="41" applyBorder="1"/>
    <xf numFmtId="0" fontId="19" fillId="0" borderId="96" xfId="41" applyBorder="1"/>
    <xf numFmtId="0" fontId="19" fillId="0" borderId="92" xfId="41" applyBorder="1"/>
    <xf numFmtId="0" fontId="19" fillId="0" borderId="93" xfId="41" applyBorder="1"/>
    <xf numFmtId="0" fontId="19" fillId="0" borderId="97" xfId="41" applyBorder="1"/>
    <xf numFmtId="0" fontId="4" fillId="0" borderId="97" xfId="1" applyNumberFormat="1" applyFont="1" applyFill="1" applyBorder="1" applyAlignment="1" applyProtection="1">
      <alignment horizontal="left"/>
      <protection locked="0"/>
    </xf>
    <xf numFmtId="0" fontId="4" fillId="0" borderId="98" xfId="1" applyNumberFormat="1" applyFont="1" applyFill="1" applyBorder="1" applyAlignment="1" applyProtection="1">
      <alignment horizontal="left"/>
      <protection locked="0"/>
    </xf>
    <xf numFmtId="0" fontId="19" fillId="0" borderId="99" xfId="41" applyBorder="1" applyAlignment="1">
      <alignment horizontal="right" vertical="top"/>
    </xf>
    <xf numFmtId="0" fontId="19" fillId="0" borderId="99" xfId="41" applyFont="1" applyBorder="1"/>
    <xf numFmtId="10" fontId="36" fillId="0" borderId="98" xfId="41" applyNumberFormat="1" applyFont="1" applyBorder="1"/>
    <xf numFmtId="3" fontId="36" fillId="0" borderId="100" xfId="41" applyNumberFormat="1" applyFont="1" applyBorder="1"/>
    <xf numFmtId="4" fontId="36" fillId="0" borderId="101" xfId="41" applyNumberFormat="1" applyFont="1" applyBorder="1"/>
    <xf numFmtId="4" fontId="36" fillId="0" borderId="98" xfId="41" applyNumberFormat="1" applyFont="1" applyBorder="1"/>
    <xf numFmtId="10" fontId="36" fillId="0" borderId="0" xfId="41" applyNumberFormat="1" applyFont="1" applyBorder="1"/>
    <xf numFmtId="3" fontId="36" fillId="0" borderId="102" xfId="41" applyNumberFormat="1" applyFont="1" applyBorder="1"/>
    <xf numFmtId="2" fontId="36" fillId="0" borderId="98" xfId="41" applyNumberFormat="1" applyFont="1" applyBorder="1"/>
    <xf numFmtId="3" fontId="36" fillId="0" borderId="0" xfId="41" applyNumberFormat="1" applyFont="1" applyBorder="1"/>
    <xf numFmtId="3" fontId="36" fillId="0" borderId="103" xfId="41" applyNumberFormat="1" applyFont="1" applyBorder="1"/>
    <xf numFmtId="3" fontId="36" fillId="0" borderId="101" xfId="41" applyNumberFormat="1" applyFont="1" applyBorder="1"/>
    <xf numFmtId="3" fontId="36" fillId="0" borderId="90" xfId="41" applyNumberFormat="1" applyFont="1" applyBorder="1"/>
    <xf numFmtId="3" fontId="36" fillId="0" borderId="91" xfId="41" applyNumberFormat="1" applyFont="1" applyBorder="1"/>
    <xf numFmtId="3" fontId="36" fillId="0" borderId="92" xfId="41" applyNumberFormat="1" applyFont="1" applyBorder="1"/>
    <xf numFmtId="3" fontId="36" fillId="0" borderId="93" xfId="41" applyNumberFormat="1" applyFont="1" applyBorder="1"/>
    <xf numFmtId="4" fontId="19" fillId="0" borderId="92" xfId="41" applyNumberFormat="1" applyBorder="1"/>
    <xf numFmtId="4" fontId="19" fillId="0" borderId="91" xfId="41" applyNumberFormat="1" applyBorder="1"/>
    <xf numFmtId="0" fontId="19" fillId="0" borderId="90" xfId="41" applyBorder="1"/>
    <xf numFmtId="0" fontId="19" fillId="0" borderId="91" xfId="41" applyBorder="1"/>
    <xf numFmtId="4" fontId="36" fillId="0" borderId="0" xfId="41" applyNumberFormat="1" applyFont="1" applyBorder="1"/>
    <xf numFmtId="3" fontId="36" fillId="0" borderId="105" xfId="41" applyNumberFormat="1" applyFont="1" applyBorder="1"/>
    <xf numFmtId="4" fontId="36" fillId="0" borderId="106" xfId="41" applyNumberFormat="1" applyFont="1" applyBorder="1"/>
    <xf numFmtId="3" fontId="36" fillId="0" borderId="107" xfId="41" applyNumberFormat="1" applyFont="1" applyBorder="1"/>
    <xf numFmtId="3" fontId="36" fillId="0" borderId="108" xfId="41" applyNumberFormat="1" applyFont="1" applyBorder="1"/>
    <xf numFmtId="4" fontId="36" fillId="0" borderId="109" xfId="41" applyNumberFormat="1" applyFont="1" applyBorder="1"/>
    <xf numFmtId="4" fontId="36" fillId="0" borderId="22" xfId="41" applyNumberFormat="1" applyFont="1" applyBorder="1"/>
    <xf numFmtId="4" fontId="36" fillId="0" borderId="110" xfId="41" applyNumberFormat="1" applyFont="1" applyBorder="1"/>
    <xf numFmtId="4" fontId="19" fillId="0" borderId="22" xfId="41" applyNumberFormat="1" applyBorder="1"/>
    <xf numFmtId="4" fontId="19" fillId="0" borderId="109" xfId="41" applyNumberFormat="1" applyBorder="1"/>
    <xf numFmtId="0" fontId="19" fillId="0" borderId="108" xfId="41" applyBorder="1"/>
    <xf numFmtId="0" fontId="19" fillId="0" borderId="109" xfId="41" applyBorder="1"/>
    <xf numFmtId="0" fontId="19" fillId="0" borderId="22" xfId="41" applyBorder="1"/>
    <xf numFmtId="0" fontId="19" fillId="0" borderId="111" xfId="41" applyBorder="1"/>
    <xf numFmtId="0" fontId="19" fillId="0" borderId="112" xfId="41" applyBorder="1"/>
    <xf numFmtId="0" fontId="4" fillId="0" borderId="112" xfId="1" applyNumberFormat="1" applyFont="1" applyFill="1" applyBorder="1" applyAlignment="1" applyProtection="1">
      <alignment horizontal="left"/>
      <protection locked="0"/>
    </xf>
    <xf numFmtId="0" fontId="4" fillId="0" borderId="113" xfId="1" applyNumberFormat="1" applyFont="1" applyFill="1" applyBorder="1" applyAlignment="1" applyProtection="1">
      <alignment horizontal="left"/>
      <protection locked="0"/>
    </xf>
    <xf numFmtId="4" fontId="36" fillId="0" borderId="28" xfId="41" applyNumberFormat="1" applyFont="1" applyBorder="1"/>
    <xf numFmtId="3" fontId="36" fillId="0" borderId="29" xfId="41" applyNumberFormat="1" applyFont="1" applyBorder="1"/>
    <xf numFmtId="3" fontId="36" fillId="0" borderId="28" xfId="41" applyNumberFormat="1" applyFont="1" applyBorder="1"/>
    <xf numFmtId="3" fontId="36" fillId="0" borderId="87" xfId="41" applyNumberFormat="1" applyFont="1" applyBorder="1"/>
    <xf numFmtId="4" fontId="36" fillId="0" borderId="88" xfId="41" applyNumberFormat="1" applyFont="1" applyBorder="1"/>
    <xf numFmtId="3" fontId="36" fillId="0" borderId="89" xfId="41" applyNumberFormat="1" applyFont="1" applyBorder="1"/>
    <xf numFmtId="3" fontId="36" fillId="0" borderId="95" xfId="41" applyNumberFormat="1" applyFont="1" applyBorder="1"/>
    <xf numFmtId="2" fontId="36" fillId="0" borderId="94" xfId="41" applyNumberFormat="1" applyFont="1" applyBorder="1"/>
    <xf numFmtId="2" fontId="36" fillId="0" borderId="16" xfId="41" applyNumberFormat="1" applyFont="1" applyBorder="1"/>
    <xf numFmtId="2" fontId="36" fillId="0" borderId="96" xfId="41" applyNumberFormat="1" applyFont="1" applyBorder="1"/>
    <xf numFmtId="0" fontId="19" fillId="0" borderId="114" xfId="41" applyBorder="1"/>
    <xf numFmtId="0" fontId="19" fillId="0" borderId="110" xfId="41" applyBorder="1"/>
    <xf numFmtId="0" fontId="19" fillId="0" borderId="115" xfId="41" applyBorder="1"/>
    <xf numFmtId="2" fontId="36" fillId="0" borderId="88" xfId="41" applyNumberFormat="1" applyFont="1" applyBorder="1"/>
    <xf numFmtId="0" fontId="19" fillId="0" borderId="116" xfId="41" applyBorder="1"/>
    <xf numFmtId="2" fontId="36" fillId="0" borderId="101" xfId="41" applyNumberFormat="1" applyFont="1" applyBorder="1"/>
    <xf numFmtId="3" fontId="36" fillId="0" borderId="99" xfId="41" applyNumberFormat="1" applyFont="1" applyBorder="1"/>
    <xf numFmtId="2" fontId="36" fillId="0" borderId="91" xfId="41" applyNumberFormat="1" applyFont="1" applyBorder="1"/>
    <xf numFmtId="2" fontId="36" fillId="0" borderId="0" xfId="41" applyNumberFormat="1" applyFont="1" applyBorder="1"/>
    <xf numFmtId="2" fontId="36" fillId="0" borderId="93" xfId="41" applyNumberFormat="1" applyFont="1" applyBorder="1"/>
    <xf numFmtId="0" fontId="19" fillId="0" borderId="99" xfId="41" applyBorder="1"/>
    <xf numFmtId="0" fontId="19" fillId="0" borderId="117" xfId="41" applyBorder="1"/>
    <xf numFmtId="2" fontId="36" fillId="0" borderId="106" xfId="41" applyNumberFormat="1" applyFont="1" applyBorder="1"/>
    <xf numFmtId="3" fontId="36" fillId="0" borderId="118" xfId="41" applyNumberFormat="1" applyFont="1" applyBorder="1"/>
    <xf numFmtId="2" fontId="36" fillId="0" borderId="109" xfId="41" applyNumberFormat="1" applyFont="1" applyBorder="1"/>
    <xf numFmtId="2" fontId="36" fillId="0" borderId="115" xfId="41" applyNumberFormat="1" applyFont="1" applyBorder="1"/>
    <xf numFmtId="2" fontId="36" fillId="0" borderId="110" xfId="41" applyNumberFormat="1" applyFont="1" applyBorder="1"/>
    <xf numFmtId="4" fontId="19" fillId="0" borderId="115" xfId="41" applyNumberFormat="1" applyBorder="1"/>
    <xf numFmtId="0" fontId="19" fillId="0" borderId="118" xfId="41" applyBorder="1"/>
    <xf numFmtId="0" fontId="19" fillId="0" borderId="119" xfId="41" applyBorder="1"/>
    <xf numFmtId="3" fontId="36" fillId="0" borderId="78" xfId="41" applyNumberFormat="1" applyFont="1" applyBorder="1"/>
    <xf numFmtId="3" fontId="36" fillId="0" borderId="11" xfId="41" applyNumberFormat="1" applyFont="1" applyBorder="1"/>
    <xf numFmtId="3" fontId="36" fillId="0" borderId="116" xfId="41" applyNumberFormat="1" applyFont="1" applyBorder="1"/>
    <xf numFmtId="4" fontId="36" fillId="0" borderId="94" xfId="41" applyNumberFormat="1" applyFont="1" applyBorder="1"/>
    <xf numFmtId="3" fontId="36" fillId="0" borderId="120" xfId="41" applyNumberFormat="1" applyFont="1" applyBorder="1"/>
    <xf numFmtId="4" fontId="36" fillId="0" borderId="116" xfId="41" applyNumberFormat="1" applyFont="1" applyBorder="1"/>
    <xf numFmtId="4" fontId="36" fillId="0" borderId="96" xfId="41" applyNumberFormat="1" applyFont="1" applyBorder="1"/>
    <xf numFmtId="4" fontId="19" fillId="0" borderId="116" xfId="41" applyNumberFormat="1" applyBorder="1"/>
    <xf numFmtId="0" fontId="19" fillId="0" borderId="120" xfId="41" applyBorder="1"/>
    <xf numFmtId="0" fontId="19" fillId="0" borderId="121" xfId="41" applyBorder="1"/>
    <xf numFmtId="3" fontId="36" fillId="0" borderId="10" xfId="41" applyNumberFormat="1" applyFont="1" applyBorder="1"/>
    <xf numFmtId="3" fontId="36" fillId="0" borderId="26" xfId="41" applyNumberFormat="1" applyFont="1" applyBorder="1"/>
    <xf numFmtId="4" fontId="19" fillId="0" borderId="0" xfId="41" applyNumberFormat="1" applyBorder="1"/>
    <xf numFmtId="0" fontId="19" fillId="0" borderId="118" xfId="41" applyBorder="1" applyAlignment="1">
      <alignment horizontal="right" vertical="top"/>
    </xf>
    <xf numFmtId="0" fontId="19" fillId="0" borderId="118" xfId="41" applyFont="1" applyBorder="1"/>
    <xf numFmtId="4" fontId="36" fillId="0" borderId="113" xfId="41" applyNumberFormat="1" applyFont="1" applyBorder="1"/>
    <xf numFmtId="4" fontId="36" fillId="0" borderId="115" xfId="41" applyNumberFormat="1" applyFont="1" applyBorder="1"/>
    <xf numFmtId="3" fontId="36" fillId="0" borderId="123" xfId="41" applyNumberFormat="1" applyFont="1" applyBorder="1"/>
    <xf numFmtId="3" fontId="36" fillId="0" borderId="115" xfId="41" applyNumberFormat="1" applyFont="1" applyBorder="1"/>
    <xf numFmtId="3" fontId="36" fillId="0" borderId="17" xfId="41" applyNumberFormat="1" applyFont="1" applyBorder="1"/>
    <xf numFmtId="0" fontId="4" fillId="0" borderId="119" xfId="1" applyNumberFormat="1" applyFont="1" applyFill="1" applyBorder="1" applyAlignment="1" applyProtection="1">
      <alignment horizontal="left"/>
      <protection locked="0"/>
    </xf>
    <xf numFmtId="0" fontId="4" fillId="0" borderId="109" xfId="1" applyNumberFormat="1" applyFont="1" applyFill="1" applyBorder="1" applyAlignment="1" applyProtection="1">
      <alignment horizontal="left"/>
      <protection locked="0"/>
    </xf>
    <xf numFmtId="0" fontId="38" fillId="0" borderId="99" xfId="41" applyFont="1" applyBorder="1" applyAlignment="1">
      <alignment horizontal="center" vertical="top"/>
    </xf>
    <xf numFmtId="0" fontId="15" fillId="0" borderId="98" xfId="41" applyFont="1" applyBorder="1" applyAlignment="1">
      <alignment horizontal="left" vertical="top" wrapText="1"/>
    </xf>
    <xf numFmtId="0" fontId="38" fillId="0" borderId="99" xfId="41" applyFont="1" applyBorder="1"/>
    <xf numFmtId="4" fontId="39" fillId="0" borderId="98" xfId="41" applyNumberFormat="1" applyFont="1" applyBorder="1"/>
    <xf numFmtId="3" fontId="39" fillId="0" borderId="100" xfId="41" applyNumberFormat="1" applyFont="1" applyBorder="1"/>
    <xf numFmtId="4" fontId="39" fillId="0" borderId="101" xfId="41" applyNumberFormat="1" applyFont="1" applyBorder="1"/>
    <xf numFmtId="4" fontId="39" fillId="0" borderId="0" xfId="41" applyNumberFormat="1" applyFont="1" applyBorder="1"/>
    <xf numFmtId="3" fontId="39" fillId="0" borderId="99" xfId="41" applyNumberFormat="1" applyFont="1" applyBorder="1"/>
    <xf numFmtId="3" fontId="39" fillId="0" borderId="42" xfId="41" applyNumberFormat="1" applyFont="1" applyBorder="1"/>
    <xf numFmtId="3" fontId="39" fillId="0" borderId="98" xfId="41" applyNumberFormat="1" applyFont="1" applyBorder="1"/>
    <xf numFmtId="4" fontId="40" fillId="0" borderId="98" xfId="41" applyNumberFormat="1" applyFont="1" applyBorder="1"/>
    <xf numFmtId="3" fontId="39" fillId="0" borderId="0" xfId="41" applyNumberFormat="1" applyFont="1" applyBorder="1"/>
    <xf numFmtId="3" fontId="39" fillId="0" borderId="26" xfId="41" applyNumberFormat="1" applyFont="1" applyBorder="1"/>
    <xf numFmtId="3" fontId="39" fillId="0" borderId="103" xfId="41" applyNumberFormat="1" applyFont="1" applyBorder="1"/>
    <xf numFmtId="3" fontId="39" fillId="0" borderId="101" xfId="41" applyNumberFormat="1" applyFont="1" applyBorder="1"/>
    <xf numFmtId="3" fontId="39" fillId="0" borderId="91" xfId="41" applyNumberFormat="1" applyFont="1" applyBorder="1"/>
    <xf numFmtId="3" fontId="39" fillId="0" borderId="93" xfId="41" applyNumberFormat="1" applyFont="1" applyBorder="1"/>
    <xf numFmtId="3" fontId="38" fillId="0" borderId="99" xfId="41" applyNumberFormat="1" applyFont="1" applyBorder="1"/>
    <xf numFmtId="3" fontId="38" fillId="0" borderId="91" xfId="41" applyNumberFormat="1" applyFont="1" applyBorder="1"/>
    <xf numFmtId="3" fontId="38" fillId="0" borderId="0" xfId="41" applyNumberFormat="1" applyFont="1" applyBorder="1"/>
    <xf numFmtId="3" fontId="38" fillId="0" borderId="93" xfId="41" applyNumberFormat="1" applyFont="1" applyBorder="1"/>
    <xf numFmtId="3" fontId="38" fillId="0" borderId="116" xfId="41" applyNumberFormat="1" applyFont="1" applyBorder="1"/>
    <xf numFmtId="3" fontId="38" fillId="0" borderId="96" xfId="41" applyNumberFormat="1" applyFont="1" applyBorder="1"/>
    <xf numFmtId="3" fontId="38" fillId="0" borderId="121" xfId="41" applyNumberFormat="1" applyFont="1" applyBorder="1"/>
    <xf numFmtId="0" fontId="4" fillId="0" borderId="124" xfId="1" applyNumberFormat="1" applyFont="1" applyFill="1" applyBorder="1" applyAlignment="1" applyProtection="1">
      <alignment horizontal="left"/>
      <protection locked="0"/>
    </xf>
    <xf numFmtId="0" fontId="4" fillId="0" borderId="91" xfId="1" applyNumberFormat="1" applyFont="1" applyFill="1" applyBorder="1" applyAlignment="1" applyProtection="1">
      <alignment horizontal="left"/>
      <protection locked="0"/>
    </xf>
    <xf numFmtId="10" fontId="39" fillId="0" borderId="0" xfId="41" applyNumberFormat="1" applyFont="1" applyBorder="1"/>
    <xf numFmtId="3" fontId="39" fillId="0" borderId="10" xfId="41" applyNumberFormat="1" applyFont="1" applyBorder="1"/>
    <xf numFmtId="10" fontId="40" fillId="0" borderId="98" xfId="41" applyNumberFormat="1" applyFont="1" applyBorder="1"/>
    <xf numFmtId="3" fontId="38" fillId="0" borderId="117" xfId="41" applyNumberFormat="1" applyFont="1" applyBorder="1"/>
    <xf numFmtId="0" fontId="4" fillId="0" borderId="117" xfId="1" applyNumberFormat="1" applyFont="1" applyFill="1" applyBorder="1" applyAlignment="1" applyProtection="1">
      <alignment horizontal="left"/>
      <protection locked="0"/>
    </xf>
    <xf numFmtId="0" fontId="38" fillId="0" borderId="118" xfId="41" applyFont="1" applyBorder="1" applyAlignment="1">
      <alignment horizontal="center" vertical="top"/>
    </xf>
    <xf numFmtId="0" fontId="15" fillId="0" borderId="113" xfId="41" applyFont="1" applyBorder="1" applyAlignment="1">
      <alignment horizontal="left" vertical="top" wrapText="1"/>
    </xf>
    <xf numFmtId="0" fontId="38" fillId="0" borderId="118" xfId="41" applyFont="1" applyBorder="1"/>
    <xf numFmtId="4" fontId="39" fillId="0" borderId="113" xfId="41" applyNumberFormat="1" applyFont="1" applyBorder="1"/>
    <xf numFmtId="3" fontId="39" fillId="0" borderId="107" xfId="41" applyNumberFormat="1" applyFont="1" applyBorder="1"/>
    <xf numFmtId="4" fontId="39" fillId="0" borderId="106" xfId="41" applyNumberFormat="1" applyFont="1" applyBorder="1"/>
    <xf numFmtId="4" fontId="39" fillId="0" borderId="115" xfId="41" applyNumberFormat="1" applyFont="1" applyBorder="1"/>
    <xf numFmtId="3" fontId="39" fillId="0" borderId="118" xfId="41" applyNumberFormat="1" applyFont="1" applyBorder="1"/>
    <xf numFmtId="3" fontId="39" fillId="0" borderId="123" xfId="41" applyNumberFormat="1" applyFont="1" applyBorder="1"/>
    <xf numFmtId="3" fontId="39" fillId="0" borderId="113" xfId="41" applyNumberFormat="1" applyFont="1" applyBorder="1"/>
    <xf numFmtId="4" fontId="40" fillId="0" borderId="113" xfId="41" applyNumberFormat="1" applyFont="1" applyBorder="1"/>
    <xf numFmtId="3" fontId="39" fillId="0" borderId="115" xfId="41" applyNumberFormat="1" applyFont="1" applyBorder="1"/>
    <xf numFmtId="3" fontId="39" fillId="0" borderId="17" xfId="41" applyNumberFormat="1" applyFont="1" applyBorder="1"/>
    <xf numFmtId="3" fontId="39" fillId="0" borderId="105" xfId="41" applyNumberFormat="1" applyFont="1" applyBorder="1"/>
    <xf numFmtId="3" fontId="39" fillId="0" borderId="106" xfId="41" applyNumberFormat="1" applyFont="1" applyBorder="1"/>
    <xf numFmtId="3" fontId="39" fillId="0" borderId="109" xfId="41" applyNumberFormat="1" applyFont="1" applyBorder="1"/>
    <xf numFmtId="3" fontId="39" fillId="0" borderId="110" xfId="41" applyNumberFormat="1" applyFont="1" applyBorder="1"/>
    <xf numFmtId="3" fontId="39" fillId="0" borderId="119" xfId="41" applyNumberFormat="1" applyFont="1" applyBorder="1"/>
    <xf numFmtId="3" fontId="39" fillId="0" borderId="111" xfId="41" applyNumberFormat="1" applyFont="1" applyBorder="1"/>
    <xf numFmtId="0" fontId="41" fillId="0" borderId="99" xfId="41" applyFont="1" applyBorder="1"/>
    <xf numFmtId="4" fontId="37" fillId="0" borderId="98" xfId="41" applyNumberFormat="1" applyFont="1" applyBorder="1"/>
    <xf numFmtId="3" fontId="37" fillId="0" borderId="100" xfId="41" applyNumberFormat="1" applyFont="1" applyBorder="1"/>
    <xf numFmtId="4" fontId="37" fillId="0" borderId="101" xfId="41" applyNumberFormat="1" applyFont="1" applyBorder="1"/>
    <xf numFmtId="4" fontId="37" fillId="0" borderId="0" xfId="41" applyNumberFormat="1" applyFont="1" applyBorder="1"/>
    <xf numFmtId="3" fontId="37" fillId="0" borderId="99" xfId="41" applyNumberFormat="1" applyFont="1" applyBorder="1"/>
    <xf numFmtId="3" fontId="37" fillId="0" borderId="10" xfId="41" applyNumberFormat="1" applyFont="1" applyBorder="1"/>
    <xf numFmtId="3" fontId="37" fillId="0" borderId="98" xfId="41" applyNumberFormat="1" applyFont="1" applyBorder="1"/>
    <xf numFmtId="3" fontId="37" fillId="0" borderId="0" xfId="41" applyNumberFormat="1" applyFont="1" applyBorder="1"/>
    <xf numFmtId="3" fontId="37" fillId="0" borderId="26" xfId="41" applyNumberFormat="1" applyFont="1" applyBorder="1"/>
    <xf numFmtId="3" fontId="37" fillId="0" borderId="103" xfId="41" applyNumberFormat="1" applyFont="1" applyBorder="1"/>
    <xf numFmtId="3" fontId="37" fillId="0" borderId="101" xfId="41" applyNumberFormat="1" applyFont="1" applyBorder="1"/>
    <xf numFmtId="3" fontId="37" fillId="0" borderId="91" xfId="41" applyNumberFormat="1" applyFont="1" applyBorder="1"/>
    <xf numFmtId="3" fontId="37" fillId="0" borderId="93" xfId="41" applyNumberFormat="1" applyFont="1" applyBorder="1"/>
    <xf numFmtId="3" fontId="19" fillId="0" borderId="99" xfId="41" applyNumberFormat="1" applyBorder="1"/>
    <xf numFmtId="3" fontId="19" fillId="0" borderId="91" xfId="41" applyNumberFormat="1" applyBorder="1"/>
    <xf numFmtId="3" fontId="19" fillId="0" borderId="0" xfId="41" applyNumberFormat="1" applyBorder="1"/>
    <xf numFmtId="3" fontId="19" fillId="0" borderId="93" xfId="41" applyNumberFormat="1" applyBorder="1"/>
    <xf numFmtId="3" fontId="19" fillId="0" borderId="117" xfId="41" applyNumberFormat="1" applyBorder="1"/>
    <xf numFmtId="3" fontId="19" fillId="0" borderId="96" xfId="41" applyNumberFormat="1" applyBorder="1"/>
    <xf numFmtId="10" fontId="37" fillId="0" borderId="98" xfId="41" applyNumberFormat="1" applyFont="1" applyBorder="1"/>
    <xf numFmtId="10" fontId="37" fillId="0" borderId="0" xfId="41" applyNumberFormat="1" applyFont="1" applyBorder="1"/>
    <xf numFmtId="0" fontId="41" fillId="0" borderId="118" xfId="41" applyFont="1" applyBorder="1"/>
    <xf numFmtId="4" fontId="37" fillId="0" borderId="113" xfId="41" applyNumberFormat="1" applyFont="1" applyBorder="1"/>
    <xf numFmtId="3" fontId="37" fillId="0" borderId="107" xfId="41" applyNumberFormat="1" applyFont="1" applyBorder="1"/>
    <xf numFmtId="4" fontId="37" fillId="0" borderId="106" xfId="41" applyNumberFormat="1" applyFont="1" applyBorder="1"/>
    <xf numFmtId="4" fontId="37" fillId="0" borderId="115" xfId="41" applyNumberFormat="1" applyFont="1" applyBorder="1"/>
    <xf numFmtId="3" fontId="37" fillId="0" borderId="118" xfId="41" applyNumberFormat="1" applyFont="1" applyBorder="1"/>
    <xf numFmtId="3" fontId="37" fillId="0" borderId="123" xfId="41" applyNumberFormat="1" applyFont="1" applyBorder="1"/>
    <xf numFmtId="3" fontId="37" fillId="0" borderId="113" xfId="41" applyNumberFormat="1" applyFont="1" applyBorder="1"/>
    <xf numFmtId="3" fontId="37" fillId="0" borderId="115" xfId="41" applyNumberFormat="1" applyFont="1" applyBorder="1"/>
    <xf numFmtId="3" fontId="37" fillId="0" borderId="17" xfId="41" applyNumberFormat="1" applyFont="1" applyBorder="1"/>
    <xf numFmtId="3" fontId="37" fillId="0" borderId="109" xfId="41" applyNumberFormat="1" applyFont="1" applyBorder="1"/>
    <xf numFmtId="3" fontId="37" fillId="0" borderId="110" xfId="41" applyNumberFormat="1" applyFont="1" applyBorder="1"/>
    <xf numFmtId="3" fontId="19" fillId="0" borderId="118" xfId="41" applyNumberFormat="1" applyBorder="1"/>
    <xf numFmtId="3" fontId="19" fillId="0" borderId="109" xfId="41" applyNumberFormat="1" applyBorder="1"/>
    <xf numFmtId="3" fontId="19" fillId="0" borderId="115" xfId="41" applyNumberFormat="1" applyBorder="1"/>
    <xf numFmtId="3" fontId="19" fillId="0" borderId="111" xfId="41" applyNumberFormat="1" applyBorder="1"/>
    <xf numFmtId="3" fontId="19" fillId="0" borderId="119" xfId="41" applyNumberFormat="1" applyBorder="1"/>
    <xf numFmtId="0" fontId="19" fillId="0" borderId="99" xfId="41" applyFont="1" applyBorder="1" applyAlignment="1">
      <alignment horizontal="center" vertical="top"/>
    </xf>
    <xf numFmtId="0" fontId="19" fillId="0" borderId="98" xfId="41" applyFont="1" applyBorder="1" applyAlignment="1">
      <alignment horizontal="left" vertical="top" wrapText="1"/>
    </xf>
    <xf numFmtId="4" fontId="36" fillId="0" borderId="26" xfId="41" applyNumberFormat="1" applyFont="1" applyBorder="1"/>
    <xf numFmtId="3" fontId="36" fillId="0" borderId="98" xfId="41" applyNumberFormat="1" applyFont="1" applyBorder="1"/>
    <xf numFmtId="3" fontId="19" fillId="0" borderId="99" xfId="41" applyNumberFormat="1" applyFont="1" applyBorder="1"/>
    <xf numFmtId="3" fontId="19" fillId="0" borderId="94" xfId="41" applyNumberFormat="1" applyFont="1" applyBorder="1"/>
    <xf numFmtId="3" fontId="19" fillId="0" borderId="0" xfId="41" applyNumberFormat="1" applyFont="1" applyBorder="1"/>
    <xf numFmtId="3" fontId="19" fillId="0" borderId="96" xfId="41" applyNumberFormat="1" applyFont="1" applyBorder="1"/>
    <xf numFmtId="3" fontId="19" fillId="0" borderId="93" xfId="41" applyNumberFormat="1" applyFont="1" applyBorder="1"/>
    <xf numFmtId="3" fontId="19" fillId="0" borderId="125" xfId="41" applyNumberFormat="1" applyFont="1" applyBorder="1"/>
    <xf numFmtId="3" fontId="19" fillId="0" borderId="121" xfId="41" applyNumberFormat="1" applyFont="1" applyBorder="1"/>
    <xf numFmtId="3" fontId="19" fillId="0" borderId="124" xfId="41" applyNumberFormat="1" applyFont="1" applyBorder="1"/>
    <xf numFmtId="3" fontId="4" fillId="0" borderId="124" xfId="1" applyNumberFormat="1" applyFont="1" applyFill="1" applyBorder="1" applyAlignment="1" applyProtection="1">
      <alignment horizontal="right"/>
      <protection locked="0"/>
    </xf>
    <xf numFmtId="3" fontId="4" fillId="0" borderId="91" xfId="1" applyNumberFormat="1" applyFont="1" applyFill="1" applyBorder="1" applyAlignment="1" applyProtection="1">
      <alignment horizontal="right"/>
      <protection locked="0"/>
    </xf>
    <xf numFmtId="3" fontId="19" fillId="0" borderId="91" xfId="41" applyNumberFormat="1" applyFont="1" applyBorder="1"/>
    <xf numFmtId="3" fontId="19" fillId="0" borderId="117" xfId="41" applyNumberFormat="1" applyFont="1" applyBorder="1"/>
    <xf numFmtId="3" fontId="4" fillId="0" borderId="117" xfId="1" applyNumberFormat="1" applyFont="1" applyFill="1" applyBorder="1" applyAlignment="1" applyProtection="1">
      <alignment horizontal="right"/>
      <protection locked="0"/>
    </xf>
    <xf numFmtId="0" fontId="19" fillId="0" borderId="118" xfId="41" applyFont="1" applyBorder="1" applyAlignment="1">
      <alignment horizontal="center" vertical="top"/>
    </xf>
    <xf numFmtId="0" fontId="19" fillId="0" borderId="113" xfId="41" applyFont="1" applyBorder="1" applyAlignment="1">
      <alignment horizontal="left" vertical="top" wrapText="1"/>
    </xf>
    <xf numFmtId="3" fontId="36" fillId="0" borderId="113" xfId="41" applyNumberFormat="1" applyFont="1" applyBorder="1"/>
    <xf numFmtId="3" fontId="36" fillId="0" borderId="109" xfId="41" applyNumberFormat="1" applyFont="1" applyBorder="1"/>
    <xf numFmtId="3" fontId="36" fillId="0" borderId="110" xfId="41" applyNumberFormat="1" applyFont="1" applyBorder="1"/>
    <xf numFmtId="3" fontId="36" fillId="0" borderId="111" xfId="41" applyNumberFormat="1" applyFont="1" applyBorder="1"/>
    <xf numFmtId="4" fontId="19" fillId="0" borderId="91" xfId="41" applyNumberFormat="1" applyFont="1" applyBorder="1"/>
    <xf numFmtId="4" fontId="19" fillId="0" borderId="0" xfId="41" applyNumberFormat="1" applyFont="1" applyBorder="1"/>
    <xf numFmtId="3" fontId="36" fillId="0" borderId="47" xfId="41" applyNumberFormat="1" applyFont="1" applyBorder="1"/>
    <xf numFmtId="3" fontId="36" fillId="0" borderId="126" xfId="41" applyNumberFormat="1" applyFont="1" applyBorder="1"/>
    <xf numFmtId="3" fontId="36" fillId="0" borderId="127" xfId="41" applyNumberFormat="1" applyFont="1" applyBorder="1"/>
    <xf numFmtId="3" fontId="36" fillId="0" borderId="128" xfId="41" applyNumberFormat="1" applyFont="1" applyBorder="1"/>
    <xf numFmtId="3" fontId="36" fillId="0" borderId="68" xfId="41" applyNumberFormat="1" applyFont="1" applyBorder="1"/>
    <xf numFmtId="3" fontId="36" fillId="0" borderId="129" xfId="41" applyNumberFormat="1" applyFont="1" applyBorder="1"/>
    <xf numFmtId="3" fontId="36" fillId="0" borderId="130" xfId="41" applyNumberFormat="1" applyFont="1" applyBorder="1"/>
    <xf numFmtId="3" fontId="36" fillId="0" borderId="131" xfId="41" applyNumberFormat="1" applyFont="1" applyBorder="1"/>
    <xf numFmtId="0" fontId="35" fillId="0" borderId="50" xfId="41" applyFont="1" applyBorder="1"/>
    <xf numFmtId="4" fontId="42" fillId="0" borderId="79" xfId="41" applyNumberFormat="1" applyFont="1" applyBorder="1"/>
    <xf numFmtId="3" fontId="42" fillId="0" borderId="83" xfId="41" applyNumberFormat="1" applyFont="1" applyBorder="1"/>
    <xf numFmtId="4" fontId="42" fillId="0" borderId="86" xfId="41" applyNumberFormat="1" applyFont="1" applyBorder="1"/>
    <xf numFmtId="4" fontId="42" fillId="0" borderId="84" xfId="41" applyNumberFormat="1" applyFont="1" applyBorder="1"/>
    <xf numFmtId="3" fontId="42" fillId="0" borderId="50" xfId="41" applyNumberFormat="1" applyFont="1" applyBorder="1"/>
    <xf numFmtId="3" fontId="42" fillId="0" borderId="132" xfId="41" applyNumberFormat="1" applyFont="1" applyBorder="1"/>
    <xf numFmtId="4" fontId="42" fillId="0" borderId="133" xfId="41" applyNumberFormat="1" applyFont="1" applyBorder="1"/>
    <xf numFmtId="3" fontId="43" fillId="0" borderId="84" xfId="41" applyNumberFormat="1" applyFont="1" applyBorder="1"/>
    <xf numFmtId="4" fontId="43" fillId="0" borderId="134" xfId="41" applyNumberFormat="1" applyFont="1" applyBorder="1"/>
    <xf numFmtId="4" fontId="43" fillId="0" borderId="84" xfId="41" applyNumberFormat="1" applyFont="1" applyBorder="1"/>
    <xf numFmtId="4" fontId="43" fillId="0" borderId="50" xfId="41" applyNumberFormat="1" applyFont="1" applyBorder="1"/>
    <xf numFmtId="4" fontId="43" fillId="0" borderId="135" xfId="41" applyNumberFormat="1" applyFont="1" applyBorder="1"/>
    <xf numFmtId="4" fontId="43" fillId="0" borderId="136" xfId="41" applyNumberFormat="1" applyFont="1" applyBorder="1"/>
    <xf numFmtId="4" fontId="43" fillId="0" borderId="137" xfId="41" applyNumberFormat="1" applyFont="1" applyBorder="1"/>
    <xf numFmtId="3" fontId="36" fillId="0" borderId="138" xfId="41" applyNumberFormat="1" applyFont="1" applyBorder="1"/>
    <xf numFmtId="3" fontId="36" fillId="0" borderId="125" xfId="41" applyNumberFormat="1" applyFont="1" applyBorder="1"/>
    <xf numFmtId="3" fontId="36" fillId="0" borderId="117" xfId="41" applyNumberFormat="1" applyFont="1" applyBorder="1"/>
    <xf numFmtId="0" fontId="35" fillId="0" borderId="68" xfId="41" applyFont="1" applyBorder="1"/>
    <xf numFmtId="10" fontId="42" fillId="0" borderId="127" xfId="41" applyNumberFormat="1" applyFont="1" applyBorder="1"/>
    <xf numFmtId="3" fontId="42" fillId="0" borderId="139" xfId="41" applyNumberFormat="1" applyFont="1" applyBorder="1"/>
    <xf numFmtId="4" fontId="42" fillId="0" borderId="140" xfId="41" applyNumberFormat="1" applyFont="1" applyBorder="1"/>
    <xf numFmtId="4" fontId="42" fillId="0" borderId="127" xfId="41" applyNumberFormat="1" applyFont="1" applyBorder="1"/>
    <xf numFmtId="10" fontId="42" fillId="0" borderId="47" xfId="41" applyNumberFormat="1" applyFont="1" applyBorder="1"/>
    <xf numFmtId="3" fontId="42" fillId="0" borderId="68" xfId="41" applyNumberFormat="1" applyFont="1" applyBorder="1"/>
    <xf numFmtId="3" fontId="42" fillId="0" borderId="141" xfId="41" applyNumberFormat="1" applyFont="1" applyBorder="1"/>
    <xf numFmtId="2" fontId="42" fillId="0" borderId="127" xfId="41" applyNumberFormat="1" applyFont="1" applyBorder="1"/>
    <xf numFmtId="4" fontId="42" fillId="0" borderId="47" xfId="41" applyNumberFormat="1" applyFont="1" applyBorder="1"/>
    <xf numFmtId="4" fontId="42" fillId="0" borderId="126" xfId="41" applyNumberFormat="1" applyFont="1" applyBorder="1"/>
    <xf numFmtId="4" fontId="42" fillId="0" borderId="128" xfId="41" applyNumberFormat="1" applyFont="1" applyBorder="1"/>
    <xf numFmtId="4" fontId="42" fillId="0" borderId="68" xfId="41" applyNumberFormat="1" applyFont="1" applyBorder="1"/>
    <xf numFmtId="4" fontId="42" fillId="0" borderId="142" xfId="41" applyNumberFormat="1" applyFont="1" applyBorder="1"/>
    <xf numFmtId="4" fontId="42" fillId="0" borderId="131" xfId="41" applyNumberFormat="1" applyFont="1" applyBorder="1"/>
    <xf numFmtId="4" fontId="42" fillId="0" borderId="129" xfId="41" applyNumberFormat="1" applyFont="1" applyBorder="1"/>
    <xf numFmtId="4" fontId="42" fillId="0" borderId="143" xfId="41" applyNumberFormat="1" applyFont="1" applyBorder="1"/>
    <xf numFmtId="4" fontId="42" fillId="0" borderId="130" xfId="41" applyNumberFormat="1" applyFont="1" applyBorder="1"/>
    <xf numFmtId="4" fontId="42" fillId="0" borderId="144" xfId="41" applyNumberFormat="1" applyFont="1" applyBorder="1"/>
    <xf numFmtId="0" fontId="19" fillId="0" borderId="50" xfId="41" applyBorder="1" applyAlignment="1">
      <alignment horizontal="right" vertical="top"/>
    </xf>
    <xf numFmtId="0" fontId="41" fillId="0" borderId="79" xfId="41" applyFont="1" applyBorder="1" applyAlignment="1">
      <alignment horizontal="left" vertical="top" wrapText="1"/>
    </xf>
    <xf numFmtId="0" fontId="19" fillId="0" borderId="50" xfId="41" applyFont="1" applyBorder="1"/>
    <xf numFmtId="4" fontId="36" fillId="0" borderId="79" xfId="41" applyNumberFormat="1" applyFont="1" applyBorder="1"/>
    <xf numFmtId="4" fontId="36" fillId="0" borderId="84" xfId="41" applyNumberFormat="1" applyFont="1" applyBorder="1"/>
    <xf numFmtId="4" fontId="36" fillId="0" borderId="133" xfId="41" applyNumberFormat="1" applyFont="1" applyBorder="1"/>
    <xf numFmtId="4" fontId="36" fillId="0" borderId="134" xfId="41" applyNumberFormat="1" applyFont="1" applyBorder="1"/>
    <xf numFmtId="4" fontId="36" fillId="0" borderId="50" xfId="41" applyNumberFormat="1" applyFont="1" applyBorder="1"/>
    <xf numFmtId="4" fontId="36" fillId="0" borderId="145" xfId="41" applyNumberFormat="1" applyFont="1" applyBorder="1"/>
    <xf numFmtId="4" fontId="36" fillId="0" borderId="137" xfId="41" applyNumberFormat="1" applyFont="1" applyBorder="1"/>
    <xf numFmtId="4" fontId="36" fillId="0" borderId="135" xfId="41" applyNumberFormat="1" applyFont="1" applyBorder="1"/>
    <xf numFmtId="4" fontId="19" fillId="0" borderId="84" xfId="41" applyNumberFormat="1" applyBorder="1"/>
    <xf numFmtId="4" fontId="19" fillId="0" borderId="134" xfId="41" applyNumberFormat="1" applyBorder="1"/>
    <xf numFmtId="4" fontId="19" fillId="0" borderId="50" xfId="41" applyNumberFormat="1" applyBorder="1"/>
    <xf numFmtId="4" fontId="19" fillId="0" borderId="146" xfId="41" applyNumberFormat="1" applyBorder="1"/>
    <xf numFmtId="4" fontId="19" fillId="0" borderId="137" xfId="41" applyNumberFormat="1" applyBorder="1"/>
    <xf numFmtId="4" fontId="19" fillId="0" borderId="135" xfId="41" applyNumberFormat="1" applyBorder="1"/>
    <xf numFmtId="4" fontId="19" fillId="0" borderId="136" xfId="41" applyNumberFormat="1" applyBorder="1"/>
    <xf numFmtId="4" fontId="4" fillId="0" borderId="137" xfId="1" applyNumberFormat="1" applyFont="1" applyFill="1" applyBorder="1" applyAlignment="1" applyProtection="1">
      <alignment horizontal="left"/>
      <protection locked="0"/>
    </xf>
    <xf numFmtId="4" fontId="4" fillId="0" borderId="134" xfId="1" applyNumberFormat="1" applyFont="1" applyFill="1" applyBorder="1" applyAlignment="1" applyProtection="1">
      <alignment horizontal="left"/>
      <protection locked="0"/>
    </xf>
    <xf numFmtId="3" fontId="39" fillId="0" borderId="90" xfId="41" applyNumberFormat="1" applyFont="1" applyBorder="1"/>
    <xf numFmtId="3" fontId="39" fillId="0" borderId="117" xfId="41" applyNumberFormat="1" applyFont="1" applyBorder="1"/>
    <xf numFmtId="3" fontId="38" fillId="0" borderId="147" xfId="41" applyNumberFormat="1" applyFont="1" applyBorder="1"/>
    <xf numFmtId="3" fontId="38" fillId="0" borderId="125" xfId="41" applyNumberFormat="1" applyFont="1" applyBorder="1"/>
    <xf numFmtId="3" fontId="39" fillId="0" borderId="108" xfId="41" applyNumberFormat="1" applyFont="1" applyBorder="1"/>
    <xf numFmtId="3" fontId="39" fillId="0" borderId="148" xfId="41" applyNumberFormat="1" applyFont="1" applyBorder="1"/>
    <xf numFmtId="3" fontId="39" fillId="0" borderId="30" xfId="41" applyNumberFormat="1" applyFont="1" applyBorder="1"/>
    <xf numFmtId="3" fontId="42" fillId="0" borderId="26" xfId="41" applyNumberFormat="1" applyFont="1" applyBorder="1"/>
    <xf numFmtId="3" fontId="19" fillId="0" borderId="147" xfId="41" applyNumberFormat="1" applyFont="1" applyBorder="1"/>
    <xf numFmtId="0" fontId="41" fillId="0" borderId="68" xfId="41" applyFont="1" applyBorder="1" applyAlignment="1">
      <alignment horizontal="center" vertical="top"/>
    </xf>
    <xf numFmtId="0" fontId="41" fillId="0" borderId="127" xfId="41" applyFont="1" applyBorder="1" applyAlignment="1">
      <alignment horizontal="left" vertical="top" wrapText="1"/>
    </xf>
    <xf numFmtId="0" fontId="41" fillId="0" borderId="68" xfId="41" applyFont="1" applyBorder="1"/>
    <xf numFmtId="10" fontId="37" fillId="0" borderId="127" xfId="41" applyNumberFormat="1" applyFont="1" applyBorder="1"/>
    <xf numFmtId="3" fontId="37" fillId="0" borderId="139" xfId="41" applyNumberFormat="1" applyFont="1" applyBorder="1"/>
    <xf numFmtId="4" fontId="37" fillId="0" borderId="140" xfId="41" applyNumberFormat="1" applyFont="1" applyBorder="1"/>
    <xf numFmtId="4" fontId="37" fillId="0" borderId="127" xfId="41" applyNumberFormat="1" applyFont="1" applyBorder="1"/>
    <xf numFmtId="10" fontId="37" fillId="0" borderId="47" xfId="41" applyNumberFormat="1" applyFont="1" applyBorder="1"/>
    <xf numFmtId="3" fontId="37" fillId="0" borderId="68" xfId="41" applyNumberFormat="1" applyFont="1" applyBorder="1"/>
    <xf numFmtId="3" fontId="37" fillId="0" borderId="141" xfId="41" applyNumberFormat="1" applyFont="1" applyBorder="1"/>
    <xf numFmtId="3" fontId="37" fillId="0" borderId="127" xfId="41" applyNumberFormat="1" applyFont="1" applyBorder="1"/>
    <xf numFmtId="10" fontId="36" fillId="0" borderId="127" xfId="41" applyNumberFormat="1" applyFont="1" applyBorder="1"/>
    <xf numFmtId="3" fontId="37" fillId="0" borderId="47" xfId="41" applyNumberFormat="1" applyFont="1" applyBorder="1"/>
    <xf numFmtId="4" fontId="36" fillId="0" borderId="127" xfId="41" applyNumberFormat="1" applyFont="1" applyBorder="1"/>
    <xf numFmtId="3" fontId="42" fillId="0" borderId="47" xfId="41" applyNumberFormat="1" applyFont="1" applyBorder="1"/>
    <xf numFmtId="3" fontId="36" fillId="0" borderId="140" xfId="41" applyNumberFormat="1" applyFont="1" applyBorder="1"/>
    <xf numFmtId="3" fontId="36" fillId="0" borderId="149" xfId="41" applyNumberFormat="1" applyFont="1" applyBorder="1"/>
    <xf numFmtId="3" fontId="36" fillId="0" borderId="143" xfId="41" applyNumberFormat="1" applyFont="1" applyBorder="1"/>
    <xf numFmtId="0" fontId="41" fillId="0" borderId="50" xfId="41" applyFont="1" applyBorder="1"/>
    <xf numFmtId="3" fontId="42" fillId="0" borderId="84" xfId="41" applyNumberFormat="1" applyFont="1" applyBorder="1"/>
    <xf numFmtId="3" fontId="42" fillId="0" borderId="133" xfId="41" applyNumberFormat="1" applyFont="1" applyBorder="1"/>
    <xf numFmtId="3" fontId="42" fillId="0" borderId="79" xfId="41" applyNumberFormat="1" applyFont="1" applyBorder="1"/>
    <xf numFmtId="3" fontId="42" fillId="0" borderId="86" xfId="41" applyNumberFormat="1" applyFont="1" applyBorder="1"/>
    <xf numFmtId="3" fontId="42" fillId="0" borderId="134" xfId="41" applyNumberFormat="1" applyFont="1" applyBorder="1"/>
    <xf numFmtId="3" fontId="42" fillId="0" borderId="145" xfId="41" applyNumberFormat="1" applyFont="1" applyBorder="1"/>
    <xf numFmtId="4" fontId="42" fillId="0" borderId="137" xfId="41" applyNumberFormat="1" applyFont="1" applyBorder="1"/>
    <xf numFmtId="3" fontId="42" fillId="0" borderId="135" xfId="41" applyNumberFormat="1" applyFont="1" applyBorder="1"/>
    <xf numFmtId="3" fontId="42" fillId="0" borderId="146" xfId="41" applyNumberFormat="1" applyFont="1" applyBorder="1"/>
    <xf numFmtId="3" fontId="42" fillId="0" borderId="137" xfId="41" applyNumberFormat="1" applyFont="1" applyBorder="1"/>
    <xf numFmtId="3" fontId="42" fillId="0" borderId="136" xfId="41" applyNumberFormat="1" applyFont="1" applyBorder="1"/>
    <xf numFmtId="3" fontId="42" fillId="0" borderId="100" xfId="41" applyNumberFormat="1" applyFont="1" applyBorder="1"/>
    <xf numFmtId="4" fontId="42" fillId="0" borderId="98" xfId="41" applyNumberFormat="1" applyFont="1" applyBorder="1"/>
    <xf numFmtId="4" fontId="42" fillId="0" borderId="0" xfId="41" applyNumberFormat="1" applyFont="1" applyBorder="1"/>
    <xf numFmtId="3" fontId="42" fillId="0" borderId="99" xfId="41" applyNumberFormat="1" applyFont="1" applyBorder="1"/>
    <xf numFmtId="3" fontId="42" fillId="0" borderId="98" xfId="41" applyNumberFormat="1" applyFont="1" applyBorder="1"/>
    <xf numFmtId="3" fontId="42" fillId="0" borderId="0" xfId="41" applyNumberFormat="1" applyFont="1" applyBorder="1"/>
    <xf numFmtId="3" fontId="42" fillId="0" borderId="101" xfId="41" applyNumberFormat="1" applyFont="1" applyBorder="1"/>
    <xf numFmtId="3" fontId="42" fillId="0" borderId="91" xfId="41" applyNumberFormat="1" applyFont="1" applyBorder="1"/>
    <xf numFmtId="3" fontId="42" fillId="0" borderId="90" xfId="41" applyNumberFormat="1" applyFont="1" applyBorder="1"/>
    <xf numFmtId="3" fontId="42" fillId="0" borderId="117" xfId="41" applyNumberFormat="1" applyFont="1" applyBorder="1"/>
    <xf numFmtId="3" fontId="42" fillId="0" borderId="93" xfId="41" applyNumberFormat="1" applyFont="1" applyBorder="1"/>
    <xf numFmtId="3" fontId="42" fillId="0" borderId="147" xfId="41" applyNumberFormat="1" applyFont="1" applyBorder="1"/>
    <xf numFmtId="3" fontId="42" fillId="0" borderId="125" xfId="41" applyNumberFormat="1" applyFont="1" applyBorder="1"/>
    <xf numFmtId="3" fontId="7" fillId="0" borderId="117" xfId="1" applyNumberFormat="1" applyFont="1" applyFill="1" applyBorder="1" applyAlignment="1" applyProtection="1">
      <alignment horizontal="right"/>
      <protection locked="0"/>
    </xf>
    <xf numFmtId="3" fontId="4" fillId="0" borderId="91" xfId="1" applyNumberFormat="1" applyFont="1" applyFill="1" applyBorder="1" applyAlignment="1" applyProtection="1">
      <alignment horizontal="left"/>
      <protection locked="0"/>
    </xf>
    <xf numFmtId="0" fontId="19" fillId="0" borderId="68" xfId="41" applyFont="1" applyBorder="1"/>
    <xf numFmtId="3" fontId="42" fillId="0" borderId="126" xfId="41" applyNumberFormat="1" applyFont="1" applyBorder="1"/>
    <xf numFmtId="3" fontId="42" fillId="0" borderId="127" xfId="41" applyNumberFormat="1" applyFont="1" applyBorder="1"/>
    <xf numFmtId="3" fontId="42" fillId="0" borderId="140" xfId="41" applyNumberFormat="1" applyFont="1" applyBorder="1"/>
    <xf numFmtId="3" fontId="42" fillId="0" borderId="128" xfId="41" applyNumberFormat="1" applyFont="1" applyBorder="1"/>
    <xf numFmtId="3" fontId="42" fillId="0" borderId="149" xfId="41" applyNumberFormat="1" applyFont="1" applyBorder="1"/>
    <xf numFmtId="3" fontId="42" fillId="0" borderId="131" xfId="41" applyNumberFormat="1" applyFont="1" applyBorder="1"/>
    <xf numFmtId="3" fontId="42" fillId="0" borderId="129" xfId="41" applyNumberFormat="1" applyFont="1" applyBorder="1"/>
    <xf numFmtId="3" fontId="42" fillId="0" borderId="143" xfId="41" applyNumberFormat="1" applyFont="1" applyBorder="1"/>
    <xf numFmtId="3" fontId="42" fillId="0" borderId="130" xfId="41" applyNumberFormat="1" applyFont="1" applyBorder="1"/>
    <xf numFmtId="3" fontId="42" fillId="0" borderId="144" xfId="41" applyNumberFormat="1" applyFont="1" applyBorder="1"/>
    <xf numFmtId="0" fontId="19" fillId="0" borderId="50" xfId="41" applyFont="1" applyBorder="1" applyAlignment="1">
      <alignment horizontal="right"/>
    </xf>
    <xf numFmtId="3" fontId="36" fillId="0" borderId="83" xfId="41" applyNumberFormat="1" applyFont="1" applyBorder="1"/>
    <xf numFmtId="4" fontId="36" fillId="0" borderId="86" xfId="41" applyNumberFormat="1" applyFont="1" applyBorder="1"/>
    <xf numFmtId="3" fontId="36" fillId="0" borderId="50" xfId="41" applyNumberFormat="1" applyFont="1" applyBorder="1"/>
    <xf numFmtId="4" fontId="42" fillId="0" borderId="134" xfId="41" applyNumberFormat="1" applyFont="1" applyBorder="1"/>
    <xf numFmtId="4" fontId="42" fillId="0" borderId="50" xfId="41" applyNumberFormat="1" applyFont="1" applyBorder="1"/>
    <xf numFmtId="4" fontId="42" fillId="0" borderId="145" xfId="41" applyNumberFormat="1" applyFont="1" applyBorder="1"/>
    <xf numFmtId="4" fontId="42" fillId="0" borderId="135" xfId="41" applyNumberFormat="1" applyFont="1" applyBorder="1"/>
    <xf numFmtId="4" fontId="35" fillId="0" borderId="84" xfId="41" applyNumberFormat="1" applyFont="1" applyBorder="1"/>
    <xf numFmtId="4" fontId="35" fillId="0" borderId="134" xfId="41" applyNumberFormat="1" applyFont="1" applyBorder="1"/>
    <xf numFmtId="4" fontId="35" fillId="0" borderId="50" xfId="41" applyNumberFormat="1" applyFont="1" applyBorder="1"/>
    <xf numFmtId="4" fontId="35" fillId="0" borderId="146" xfId="41" applyNumberFormat="1" applyFont="1" applyBorder="1"/>
    <xf numFmtId="4" fontId="35" fillId="0" borderId="137" xfId="41" applyNumberFormat="1" applyFont="1" applyBorder="1"/>
    <xf numFmtId="4" fontId="35" fillId="0" borderId="135" xfId="41" applyNumberFormat="1" applyFont="1" applyBorder="1"/>
    <xf numFmtId="4" fontId="35" fillId="0" borderId="136" xfId="41" applyNumberFormat="1" applyFont="1" applyBorder="1"/>
    <xf numFmtId="4" fontId="35" fillId="0" borderId="137" xfId="41" applyNumberFormat="1" applyFont="1" applyBorder="1" applyAlignment="1">
      <alignment horizontal="right"/>
    </xf>
    <xf numFmtId="4" fontId="35" fillId="0" borderId="134" xfId="41" applyNumberFormat="1" applyFont="1" applyBorder="1" applyAlignment="1">
      <alignment horizontal="right"/>
    </xf>
    <xf numFmtId="0" fontId="19" fillId="0" borderId="99" xfId="41" applyBorder="1" applyAlignment="1">
      <alignment horizontal="right"/>
    </xf>
    <xf numFmtId="4" fontId="42" fillId="0" borderId="26" xfId="41" applyNumberFormat="1" applyFont="1" applyBorder="1"/>
    <xf numFmtId="4" fontId="42" fillId="0" borderId="101" xfId="41" applyNumberFormat="1" applyFont="1" applyBorder="1"/>
    <xf numFmtId="4" fontId="42" fillId="0" borderId="91" xfId="41" applyNumberFormat="1" applyFont="1" applyBorder="1"/>
    <xf numFmtId="4" fontId="42" fillId="0" borderId="99" xfId="41" applyNumberFormat="1" applyFont="1" applyBorder="1"/>
    <xf numFmtId="4" fontId="42" fillId="0" borderId="90" xfId="41" applyNumberFormat="1" applyFont="1" applyBorder="1"/>
    <xf numFmtId="4" fontId="42" fillId="0" borderId="117" xfId="41" applyNumberFormat="1" applyFont="1" applyBorder="1"/>
    <xf numFmtId="4" fontId="42" fillId="0" borderId="93" xfId="41" applyNumberFormat="1" applyFont="1" applyBorder="1"/>
    <xf numFmtId="4" fontId="42" fillId="0" borderId="147" xfId="41" applyNumberFormat="1" applyFont="1" applyBorder="1"/>
    <xf numFmtId="4" fontId="42" fillId="0" borderId="125" xfId="41" applyNumberFormat="1" applyFont="1" applyBorder="1"/>
    <xf numFmtId="4" fontId="42" fillId="0" borderId="117" xfId="41" applyNumberFormat="1" applyFont="1" applyBorder="1" applyAlignment="1">
      <alignment horizontal="right"/>
    </xf>
    <xf numFmtId="4" fontId="42" fillId="0" borderId="91" xfId="41" applyNumberFormat="1" applyFont="1" applyBorder="1" applyAlignment="1">
      <alignment horizontal="right"/>
    </xf>
    <xf numFmtId="0" fontId="19" fillId="0" borderId="68" xfId="41" applyBorder="1" applyAlignment="1">
      <alignment horizontal="right"/>
    </xf>
    <xf numFmtId="3" fontId="36" fillId="0" borderId="139" xfId="41" applyNumberFormat="1" applyFont="1" applyBorder="1"/>
    <xf numFmtId="4" fontId="36" fillId="0" borderId="140" xfId="41" applyNumberFormat="1" applyFont="1" applyBorder="1"/>
    <xf numFmtId="4" fontId="36" fillId="0" borderId="47" xfId="41" applyNumberFormat="1" applyFont="1" applyBorder="1"/>
    <xf numFmtId="4" fontId="7" fillId="0" borderId="131" xfId="1" applyNumberFormat="1" applyFont="1" applyFill="1" applyBorder="1" applyAlignment="1" applyProtection="1">
      <alignment horizontal="right"/>
      <protection locked="0"/>
    </xf>
    <xf numFmtId="4" fontId="7" fillId="0" borderId="128" xfId="1" applyNumberFormat="1" applyFont="1" applyFill="1" applyBorder="1" applyAlignment="1" applyProtection="1">
      <alignment horizontal="right"/>
      <protection locked="0"/>
    </xf>
    <xf numFmtId="0" fontId="35" fillId="0" borderId="99" xfId="41" applyFont="1" applyBorder="1" applyAlignment="1">
      <alignment horizontal="right"/>
    </xf>
    <xf numFmtId="0" fontId="35" fillId="0" borderId="98" xfId="41" applyFont="1" applyBorder="1" applyAlignment="1">
      <alignment horizontal="left" vertical="center"/>
    </xf>
    <xf numFmtId="4" fontId="36" fillId="0" borderId="99" xfId="41" applyNumberFormat="1" applyFont="1" applyBorder="1"/>
    <xf numFmtId="4" fontId="36" fillId="0" borderId="125" xfId="41" applyNumberFormat="1" applyFont="1" applyBorder="1"/>
    <xf numFmtId="4" fontId="36" fillId="0" borderId="117" xfId="41" applyNumberFormat="1" applyFont="1" applyBorder="1"/>
    <xf numFmtId="4" fontId="4" fillId="0" borderId="117" xfId="1" applyNumberFormat="1" applyFont="1" applyFill="1" applyBorder="1" applyAlignment="1" applyProtection="1">
      <alignment horizontal="right"/>
      <protection locked="0"/>
    </xf>
    <xf numFmtId="4" fontId="4" fillId="0" borderId="91" xfId="1" applyNumberFormat="1" applyFont="1" applyFill="1" applyBorder="1" applyAlignment="1" applyProtection="1">
      <alignment horizontal="right"/>
      <protection locked="0"/>
    </xf>
    <xf numFmtId="4" fontId="42" fillId="0" borderId="92" xfId="41" applyNumberFormat="1" applyFont="1" applyBorder="1"/>
    <xf numFmtId="4" fontId="7" fillId="0" borderId="117" xfId="1" applyNumberFormat="1" applyFont="1" applyFill="1" applyBorder="1" applyAlignment="1" applyProtection="1">
      <alignment horizontal="right"/>
      <protection locked="0"/>
    </xf>
    <xf numFmtId="4" fontId="7" fillId="0" borderId="91" xfId="1" applyNumberFormat="1" applyFont="1" applyFill="1" applyBorder="1" applyAlignment="1" applyProtection="1">
      <alignment horizontal="right"/>
      <protection locked="0"/>
    </xf>
    <xf numFmtId="0" fontId="35" fillId="0" borderId="48" xfId="41" applyFont="1" applyBorder="1" applyAlignment="1">
      <alignment horizontal="right"/>
    </xf>
    <xf numFmtId="0" fontId="42" fillId="0" borderId="49" xfId="41" applyFont="1" applyBorder="1"/>
    <xf numFmtId="0" fontId="19" fillId="0" borderId="48" xfId="41" applyBorder="1"/>
    <xf numFmtId="4" fontId="36" fillId="0" borderId="49" xfId="41" applyNumberFormat="1" applyFont="1" applyBorder="1"/>
    <xf numFmtId="3" fontId="36" fillId="0" borderId="69" xfId="41" applyNumberFormat="1" applyFont="1" applyBorder="1"/>
    <xf numFmtId="4" fontId="36" fillId="0" borderId="71" xfId="41" applyNumberFormat="1" applyFont="1" applyBorder="1"/>
    <xf numFmtId="4" fontId="36" fillId="0" borderId="52" xfId="41" applyNumberFormat="1" applyFont="1" applyBorder="1"/>
    <xf numFmtId="3" fontId="36" fillId="0" borderId="48" xfId="41" applyNumberFormat="1" applyFont="1" applyBorder="1"/>
    <xf numFmtId="3" fontId="36" fillId="0" borderId="150" xfId="41" applyNumberFormat="1" applyFont="1" applyBorder="1"/>
    <xf numFmtId="2" fontId="36" fillId="0" borderId="49" xfId="41" applyNumberFormat="1" applyFont="1" applyBorder="1"/>
    <xf numFmtId="3" fontId="36" fillId="0" borderId="52" xfId="41" applyNumberFormat="1" applyFont="1" applyBorder="1"/>
    <xf numFmtId="0" fontId="36" fillId="0" borderId="71" xfId="41" applyFont="1" applyBorder="1"/>
    <xf numFmtId="0" fontId="36" fillId="0" borderId="74" xfId="41" applyFont="1" applyBorder="1"/>
    <xf numFmtId="0" fontId="36" fillId="0" borderId="151" xfId="41" applyFont="1" applyBorder="1"/>
    <xf numFmtId="0" fontId="36" fillId="0" borderId="152" xfId="41" applyFont="1" applyBorder="1"/>
    <xf numFmtId="0" fontId="36" fillId="0" borderId="76" xfId="41" applyFont="1" applyBorder="1"/>
    <xf numFmtId="3" fontId="19" fillId="0" borderId="52" xfId="41" applyNumberFormat="1" applyBorder="1"/>
    <xf numFmtId="4" fontId="19" fillId="0" borderId="74" xfId="41" applyNumberFormat="1" applyBorder="1"/>
    <xf numFmtId="0" fontId="19" fillId="0" borderId="153" xfId="41" applyBorder="1"/>
    <xf numFmtId="0" fontId="19" fillId="0" borderId="154" xfId="41" applyBorder="1"/>
    <xf numFmtId="0" fontId="19" fillId="0" borderId="155" xfId="41" applyBorder="1"/>
    <xf numFmtId="0" fontId="19" fillId="0" borderId="156" xfId="41" applyBorder="1"/>
    <xf numFmtId="0" fontId="19" fillId="0" borderId="157" xfId="41" applyBorder="1"/>
    <xf numFmtId="0" fontId="19" fillId="0" borderId="64" xfId="41" applyBorder="1"/>
    <xf numFmtId="3" fontId="4" fillId="0" borderId="157" xfId="1" applyNumberFormat="1" applyFont="1" applyFill="1" applyBorder="1" applyAlignment="1" applyProtection="1">
      <alignment horizontal="right"/>
      <protection locked="0"/>
    </xf>
    <xf numFmtId="3" fontId="4" fillId="0" borderId="154" xfId="1" applyNumberFormat="1" applyFont="1" applyFill="1" applyBorder="1" applyAlignment="1" applyProtection="1">
      <alignment horizontal="right"/>
      <protection locked="0"/>
    </xf>
    <xf numFmtId="0" fontId="42" fillId="0" borderId="99" xfId="41" applyFont="1" applyBorder="1" applyAlignment="1">
      <alignment horizontal="right" vertical="center"/>
    </xf>
    <xf numFmtId="0" fontId="42" fillId="0" borderId="98" xfId="41" applyFont="1" applyBorder="1" applyAlignment="1">
      <alignment wrapText="1"/>
    </xf>
    <xf numFmtId="0" fontId="36" fillId="0" borderId="99" xfId="41" applyFont="1" applyBorder="1"/>
    <xf numFmtId="0" fontId="36" fillId="0" borderId="101" xfId="41" applyFont="1" applyBorder="1"/>
    <xf numFmtId="0" fontId="36" fillId="0" borderId="91" xfId="41" applyFont="1" applyBorder="1"/>
    <xf numFmtId="0" fontId="36" fillId="0" borderId="0" xfId="41" applyFont="1" applyBorder="1"/>
    <xf numFmtId="0" fontId="36" fillId="0" borderId="93" xfId="41" applyFont="1" applyBorder="1"/>
    <xf numFmtId="0" fontId="19" fillId="0" borderId="125" xfId="41" applyBorder="1"/>
    <xf numFmtId="3" fontId="4" fillId="0" borderId="158" xfId="1" applyNumberFormat="1" applyFont="1" applyFill="1" applyBorder="1" applyAlignment="1" applyProtection="1">
      <alignment horizontal="right"/>
      <protection locked="0"/>
    </xf>
    <xf numFmtId="3" fontId="4" fillId="0" borderId="98" xfId="1" applyNumberFormat="1" applyFont="1" applyFill="1" applyBorder="1" applyAlignment="1" applyProtection="1">
      <alignment horizontal="right"/>
      <protection locked="0"/>
    </xf>
    <xf numFmtId="0" fontId="19" fillId="0" borderId="159" xfId="41" applyBorder="1"/>
    <xf numFmtId="0" fontId="19" fillId="0" borderId="160" xfId="41" applyBorder="1"/>
    <xf numFmtId="0" fontId="19" fillId="0" borderId="161" xfId="41" applyBorder="1"/>
    <xf numFmtId="0" fontId="19" fillId="0" borderId="162" xfId="41" applyBorder="1"/>
    <xf numFmtId="3" fontId="4" fillId="0" borderId="97" xfId="1" applyNumberFormat="1" applyFont="1" applyFill="1" applyBorder="1" applyAlignment="1" applyProtection="1">
      <alignment horizontal="right"/>
      <protection locked="0"/>
    </xf>
    <xf numFmtId="4" fontId="42" fillId="0" borderId="136" xfId="41" applyNumberFormat="1" applyFont="1" applyBorder="1"/>
    <xf numFmtId="4" fontId="7" fillId="0" borderId="163" xfId="1" applyNumberFormat="1" applyFont="1" applyFill="1" applyBorder="1" applyAlignment="1" applyProtection="1">
      <alignment horizontal="right"/>
      <protection locked="0"/>
    </xf>
    <xf numFmtId="4" fontId="4" fillId="0" borderId="67" xfId="1" applyNumberFormat="1" applyFont="1" applyFill="1" applyBorder="1" applyAlignment="1" applyProtection="1">
      <alignment horizontal="right"/>
      <protection locked="0"/>
    </xf>
    <xf numFmtId="3" fontId="4" fillId="0" borderId="0" xfId="1" applyNumberFormat="1" applyFont="1" applyFill="1" applyBorder="1" applyAlignment="1" applyProtection="1">
      <alignment horizontal="left"/>
      <protection locked="0"/>
    </xf>
    <xf numFmtId="0" fontId="35" fillId="0" borderId="99" xfId="41" applyFont="1" applyBorder="1"/>
    <xf numFmtId="4" fontId="7" fillId="0" borderId="97" xfId="1" applyNumberFormat="1" applyFont="1" applyFill="1" applyBorder="1" applyAlignment="1" applyProtection="1">
      <alignment horizontal="right"/>
      <protection locked="0"/>
    </xf>
    <xf numFmtId="4" fontId="4" fillId="0" borderId="98" xfId="1" applyNumberFormat="1" applyFont="1" applyFill="1" applyBorder="1" applyAlignment="1" applyProtection="1">
      <alignment horizontal="right"/>
      <protection locked="0"/>
    </xf>
    <xf numFmtId="4" fontId="7" fillId="0" borderId="164" xfId="1" applyNumberFormat="1" applyFont="1" applyFill="1" applyBorder="1" applyAlignment="1" applyProtection="1">
      <alignment horizontal="right"/>
      <protection locked="0"/>
    </xf>
    <xf numFmtId="4" fontId="4" fillId="0" borderId="165" xfId="1" applyNumberFormat="1" applyFont="1" applyFill="1" applyBorder="1" applyAlignment="1" applyProtection="1">
      <alignment horizontal="right"/>
      <protection locked="0"/>
    </xf>
    <xf numFmtId="0" fontId="35" fillId="0" borderId="98" xfId="41" applyFont="1" applyBorder="1" applyAlignment="1">
      <alignment horizontal="left" vertical="top" wrapText="1"/>
    </xf>
    <xf numFmtId="0" fontId="35" fillId="0" borderId="99" xfId="41" applyFont="1" applyBorder="1" applyAlignment="1">
      <alignment horizontal="right" vertical="top"/>
    </xf>
    <xf numFmtId="0" fontId="19" fillId="0" borderId="99" xfId="41" applyFont="1" applyBorder="1" applyAlignment="1">
      <alignment vertical="top"/>
    </xf>
    <xf numFmtId="4" fontId="36" fillId="0" borderId="98" xfId="41" applyNumberFormat="1" applyFont="1" applyBorder="1" applyAlignment="1">
      <alignment vertical="top"/>
    </xf>
    <xf numFmtId="3" fontId="36" fillId="0" borderId="100" xfId="41" applyNumberFormat="1" applyFont="1" applyBorder="1" applyAlignment="1">
      <alignment vertical="top"/>
    </xf>
    <xf numFmtId="4" fontId="36" fillId="0" borderId="101" xfId="41" applyNumberFormat="1" applyFont="1" applyBorder="1" applyAlignment="1">
      <alignment vertical="top"/>
    </xf>
    <xf numFmtId="4" fontId="36" fillId="0" borderId="0" xfId="41" applyNumberFormat="1" applyFont="1" applyBorder="1" applyAlignment="1">
      <alignment vertical="top"/>
    </xf>
    <xf numFmtId="3" fontId="36" fillId="0" borderId="99" xfId="41" applyNumberFormat="1" applyFont="1" applyBorder="1" applyAlignment="1">
      <alignment vertical="top"/>
    </xf>
    <xf numFmtId="3" fontId="36" fillId="0" borderId="26" xfId="41" applyNumberFormat="1" applyFont="1" applyBorder="1" applyAlignment="1">
      <alignment vertical="top"/>
    </xf>
    <xf numFmtId="3" fontId="36" fillId="0" borderId="98" xfId="41" applyNumberFormat="1" applyFont="1" applyBorder="1" applyAlignment="1">
      <alignment vertical="top"/>
    </xf>
    <xf numFmtId="4" fontId="36" fillId="0" borderId="26" xfId="41" applyNumberFormat="1" applyFont="1" applyBorder="1" applyAlignment="1">
      <alignment vertical="top"/>
    </xf>
    <xf numFmtId="4" fontId="9" fillId="4" borderId="8" xfId="1" applyNumberFormat="1" applyFont="1" applyFill="1" applyBorder="1" applyAlignment="1" applyProtection="1">
      <alignment horizontal="right" vertical="center" wrapText="1"/>
      <protection locked="0"/>
    </xf>
    <xf numFmtId="4" fontId="2" fillId="0" borderId="6" xfId="1" applyNumberFormat="1" applyFont="1" applyFill="1" applyBorder="1" applyAlignment="1" applyProtection="1">
      <alignment horizontal="right" vertical="center"/>
      <protection locked="0"/>
    </xf>
    <xf numFmtId="4" fontId="2" fillId="6" borderId="6" xfId="1" applyNumberFormat="1" applyFont="1" applyFill="1" applyBorder="1" applyAlignment="1" applyProtection="1">
      <alignment horizontal="right" vertical="center"/>
      <protection locked="0"/>
    </xf>
    <xf numFmtId="4" fontId="9" fillId="3" borderId="6" xfId="1" applyNumberFormat="1" applyFont="1" applyFill="1" applyBorder="1" applyAlignment="1" applyProtection="1">
      <alignment horizontal="right" vertical="center" wrapText="1"/>
      <protection locked="0"/>
    </xf>
    <xf numFmtId="4" fontId="12" fillId="4" borderId="6" xfId="1" applyNumberFormat="1" applyFont="1" applyFill="1" applyBorder="1" applyAlignment="1" applyProtection="1">
      <alignment horizontal="right" vertical="center" wrapText="1"/>
      <protection locked="0"/>
    </xf>
    <xf numFmtId="4" fontId="5" fillId="7" borderId="22" xfId="1" applyNumberFormat="1" applyFont="1" applyFill="1" applyBorder="1" applyAlignment="1" applyProtection="1">
      <alignment horizontal="right" vertical="center"/>
      <protection locked="0"/>
    </xf>
    <xf numFmtId="4" fontId="2" fillId="8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92" xfId="1" applyNumberFormat="1" applyFont="1" applyFill="1" applyBorder="1" applyAlignment="1" applyProtection="1">
      <alignment horizontal="right" vertical="center"/>
      <protection locked="0"/>
    </xf>
    <xf numFmtId="4" fontId="2" fillId="7" borderId="6" xfId="1" applyNumberFormat="1" applyFont="1" applyFill="1" applyBorder="1" applyAlignment="1" applyProtection="1">
      <alignment horizontal="right" vertical="center"/>
      <protection locked="0"/>
    </xf>
    <xf numFmtId="4" fontId="2" fillId="6" borderId="22" xfId="1" applyNumberFormat="1" applyFont="1" applyFill="1" applyBorder="1" applyAlignment="1" applyProtection="1">
      <alignment horizontal="right" vertical="center"/>
      <protection locked="0"/>
    </xf>
    <xf numFmtId="4" fontId="5" fillId="7" borderId="6" xfId="1" applyNumberFormat="1" applyFont="1" applyFill="1" applyBorder="1" applyAlignment="1" applyProtection="1">
      <alignment horizontal="right" vertical="center"/>
      <protection locked="0"/>
    </xf>
    <xf numFmtId="4" fontId="2" fillId="0" borderId="16" xfId="1" applyNumberFormat="1" applyFont="1" applyFill="1" applyBorder="1" applyAlignment="1" applyProtection="1">
      <alignment horizontal="right" vertical="center"/>
      <protection locked="0"/>
    </xf>
    <xf numFmtId="4" fontId="2" fillId="6" borderId="16" xfId="1" applyNumberFormat="1" applyFont="1" applyFill="1" applyBorder="1" applyAlignment="1" applyProtection="1">
      <alignment horizontal="right" vertical="center"/>
      <protection locked="0"/>
    </xf>
    <xf numFmtId="4" fontId="12" fillId="9" borderId="6" xfId="1" applyNumberFormat="1" applyFont="1" applyFill="1" applyBorder="1" applyAlignment="1" applyProtection="1">
      <alignment horizontal="right" vertical="center"/>
      <protection locked="0"/>
    </xf>
    <xf numFmtId="4" fontId="2" fillId="0" borderId="22" xfId="1" applyNumberFormat="1" applyFont="1" applyFill="1" applyBorder="1" applyAlignment="1" applyProtection="1">
      <alignment horizontal="right" vertical="center"/>
      <protection locked="0"/>
    </xf>
    <xf numFmtId="4" fontId="5" fillId="2" borderId="6" xfId="1" applyNumberFormat="1" applyFont="1" applyFill="1" applyBorder="1" applyAlignment="1" applyProtection="1">
      <alignment horizontal="right" vertical="center" wrapText="1"/>
      <protection locked="0"/>
    </xf>
    <xf numFmtId="49" fontId="5" fillId="2" borderId="166" xfId="1" applyNumberFormat="1" applyFont="1" applyFill="1" applyBorder="1" applyAlignment="1" applyProtection="1">
      <alignment horizontal="center" vertical="center" wrapText="1"/>
      <protection locked="0"/>
    </xf>
    <xf numFmtId="49" fontId="8" fillId="3" borderId="166" xfId="1" applyNumberFormat="1" applyFont="1" applyFill="1" applyBorder="1" applyAlignment="1" applyProtection="1">
      <alignment horizontal="center" vertical="center" wrapText="1"/>
      <protection locked="0"/>
    </xf>
    <xf numFmtId="10" fontId="9" fillId="3" borderId="167" xfId="1" applyNumberFormat="1" applyFont="1" applyFill="1" applyBorder="1" applyAlignment="1" applyProtection="1">
      <alignment horizontal="right" vertical="center" wrapText="1"/>
      <protection locked="0"/>
    </xf>
    <xf numFmtId="49" fontId="10" fillId="2" borderId="168" xfId="1" applyNumberFormat="1" applyFont="1" applyFill="1" applyBorder="1" applyAlignment="1" applyProtection="1">
      <alignment horizontal="center" vertical="center" wrapText="1"/>
      <protection locked="0"/>
    </xf>
    <xf numFmtId="10" fontId="12" fillId="4" borderId="167" xfId="1" applyNumberFormat="1" applyFont="1" applyFill="1" applyBorder="1" applyAlignment="1" applyProtection="1">
      <alignment horizontal="right" vertical="center" wrapText="1"/>
      <protection locked="0"/>
    </xf>
    <xf numFmtId="49" fontId="11" fillId="2" borderId="168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169" xfId="1" applyNumberFormat="1" applyFont="1" applyFill="1" applyBorder="1" applyAlignment="1" applyProtection="1">
      <alignment horizontal="center" vertical="center" wrapText="1"/>
      <protection locked="0"/>
    </xf>
    <xf numFmtId="49" fontId="11" fillId="2" borderId="169" xfId="1" applyNumberFormat="1" applyFont="1" applyFill="1" applyBorder="1" applyAlignment="1" applyProtection="1">
      <alignment horizontal="center" vertical="center" wrapText="1"/>
      <protection locked="0"/>
    </xf>
    <xf numFmtId="49" fontId="10" fillId="5" borderId="168" xfId="1" applyNumberFormat="1" applyFont="1" applyFill="1" applyBorder="1" applyAlignment="1" applyProtection="1">
      <alignment horizontal="center" vertical="center" wrapText="1"/>
      <protection locked="0"/>
    </xf>
    <xf numFmtId="49" fontId="12" fillId="5" borderId="168" xfId="1" applyNumberFormat="1" applyFont="1" applyFill="1" applyBorder="1" applyAlignment="1" applyProtection="1">
      <alignment horizontal="center" vertical="center" wrapText="1"/>
      <protection locked="0"/>
    </xf>
    <xf numFmtId="49" fontId="8" fillId="3" borderId="170" xfId="1" applyNumberFormat="1" applyFont="1" applyFill="1" applyBorder="1" applyAlignment="1" applyProtection="1">
      <alignment horizontal="center" vertical="center" wrapText="1"/>
      <protection locked="0"/>
    </xf>
    <xf numFmtId="10" fontId="12" fillId="5" borderId="17" xfId="1" applyNumberFormat="1" applyFont="1" applyFill="1" applyBorder="1" applyAlignment="1" applyProtection="1">
      <alignment vertical="center" wrapText="1"/>
      <protection locked="0"/>
    </xf>
    <xf numFmtId="10" fontId="12" fillId="9" borderId="22" xfId="1" applyNumberFormat="1" applyFont="1" applyFill="1" applyBorder="1" applyAlignment="1" applyProtection="1">
      <alignment horizontal="right" vertical="center"/>
      <protection locked="0"/>
    </xf>
    <xf numFmtId="49" fontId="11" fillId="2" borderId="171" xfId="1" applyNumberFormat="1" applyFont="1" applyFill="1" applyBorder="1" applyAlignment="1" applyProtection="1">
      <alignment horizontal="center" vertical="center" wrapText="1"/>
      <protection locked="0"/>
    </xf>
    <xf numFmtId="49" fontId="11" fillId="2" borderId="172" xfId="1" applyNumberFormat="1" applyFont="1" applyFill="1" applyBorder="1" applyAlignment="1" applyProtection="1">
      <alignment horizontal="center" vertical="center" wrapText="1"/>
      <protection locked="0"/>
    </xf>
    <xf numFmtId="49" fontId="11" fillId="2" borderId="32" xfId="1" applyNumberFormat="1" applyFont="1" applyFill="1" applyBorder="1" applyAlignment="1" applyProtection="1">
      <alignment horizontal="center" vertical="center" wrapText="1"/>
      <protection locked="0"/>
    </xf>
    <xf numFmtId="49" fontId="11" fillId="2" borderId="32" xfId="1" applyNumberFormat="1" applyFont="1" applyFill="1" applyBorder="1" applyAlignment="1" applyProtection="1">
      <alignment horizontal="left" vertical="center" wrapText="1"/>
      <protection locked="0"/>
    </xf>
    <xf numFmtId="4" fontId="12" fillId="2" borderId="33" xfId="1" applyNumberFormat="1" applyFont="1" applyFill="1" applyBorder="1" applyAlignment="1" applyProtection="1">
      <alignment horizontal="right" vertical="center" wrapText="1"/>
      <protection locked="0"/>
    </xf>
    <xf numFmtId="4" fontId="12" fillId="0" borderId="173" xfId="1" applyNumberFormat="1" applyFont="1" applyFill="1" applyBorder="1" applyAlignment="1" applyProtection="1">
      <alignment horizontal="right" vertical="center"/>
      <protection locked="0"/>
    </xf>
    <xf numFmtId="49" fontId="11" fillId="4" borderId="32" xfId="1" applyNumberFormat="1" applyFont="1" applyFill="1" applyBorder="1" applyAlignment="1" applyProtection="1">
      <alignment horizontal="center" vertical="center" wrapText="1"/>
      <protection locked="0"/>
    </xf>
    <xf numFmtId="4" fontId="12" fillId="0" borderId="173" xfId="1" applyNumberFormat="1" applyFont="1" applyFill="1" applyBorder="1" applyAlignment="1" applyProtection="1">
      <alignment vertical="center"/>
      <protection locked="0"/>
    </xf>
    <xf numFmtId="49" fontId="11" fillId="2" borderId="172" xfId="1" applyNumberFormat="1" applyFont="1" applyFill="1" applyBorder="1" applyAlignment="1" applyProtection="1">
      <alignment horizontal="left" vertical="center" wrapText="1"/>
      <protection locked="0"/>
    </xf>
    <xf numFmtId="4" fontId="12" fillId="2" borderId="174" xfId="1" applyNumberFormat="1" applyFont="1" applyFill="1" applyBorder="1" applyAlignment="1" applyProtection="1">
      <alignment horizontal="right" vertical="center" wrapText="1"/>
      <protection locked="0"/>
    </xf>
    <xf numFmtId="10" fontId="12" fillId="5" borderId="174" xfId="1" applyNumberFormat="1" applyFont="1" applyFill="1" applyBorder="1" applyAlignment="1" applyProtection="1">
      <alignment vertical="center" wrapText="1"/>
      <protection locked="0"/>
    </xf>
    <xf numFmtId="49" fontId="11" fillId="4" borderId="19" xfId="1" applyNumberFormat="1" applyFont="1" applyFill="1" applyBorder="1" applyAlignment="1" applyProtection="1">
      <alignment horizontal="center" vertical="center" wrapText="1"/>
      <protection locked="0"/>
    </xf>
    <xf numFmtId="10" fontId="12" fillId="5" borderId="33" xfId="1" applyNumberFormat="1" applyFont="1" applyFill="1" applyBorder="1" applyAlignment="1" applyProtection="1">
      <alignment horizontal="right" vertical="center" wrapText="1"/>
      <protection locked="0"/>
    </xf>
    <xf numFmtId="49" fontId="8" fillId="3" borderId="175" xfId="1" applyNumberFormat="1" applyFont="1" applyFill="1" applyBorder="1" applyAlignment="1" applyProtection="1">
      <alignment horizontal="center" vertical="center" wrapText="1"/>
      <protection locked="0"/>
    </xf>
    <xf numFmtId="49" fontId="8" fillId="3" borderId="32" xfId="1" applyNumberFormat="1" applyFont="1" applyFill="1" applyBorder="1" applyAlignment="1" applyProtection="1">
      <alignment horizontal="center" vertical="center" wrapText="1"/>
      <protection locked="0"/>
    </xf>
    <xf numFmtId="49" fontId="8" fillId="3" borderId="32" xfId="1" applyNumberFormat="1" applyFont="1" applyFill="1" applyBorder="1" applyAlignment="1" applyProtection="1">
      <alignment horizontal="left" vertical="center" wrapText="1"/>
      <protection locked="0"/>
    </xf>
    <xf numFmtId="4" fontId="9" fillId="3" borderId="33" xfId="1" applyNumberFormat="1" applyFont="1" applyFill="1" applyBorder="1" applyAlignment="1" applyProtection="1">
      <alignment horizontal="right" vertical="center" wrapText="1"/>
      <protection locked="0"/>
    </xf>
    <xf numFmtId="10" fontId="9" fillId="3" borderId="33" xfId="1" applyNumberFormat="1" applyFont="1" applyFill="1" applyBorder="1" applyAlignment="1" applyProtection="1">
      <alignment horizontal="right" vertical="center" wrapText="1"/>
      <protection locked="0"/>
    </xf>
    <xf numFmtId="4" fontId="9" fillId="3" borderId="34" xfId="1" applyNumberFormat="1" applyFont="1" applyFill="1" applyBorder="1" applyAlignment="1" applyProtection="1">
      <alignment horizontal="right" vertical="center" wrapText="1"/>
      <protection locked="0"/>
    </xf>
    <xf numFmtId="10" fontId="12" fillId="4" borderId="17" xfId="1" applyNumberFormat="1" applyFont="1" applyFill="1" applyBorder="1" applyAlignment="1" applyProtection="1">
      <alignment horizontal="right" vertical="center" wrapText="1"/>
      <protection locked="0"/>
    </xf>
    <xf numFmtId="49" fontId="11" fillId="2" borderId="174" xfId="1" applyNumberFormat="1" applyFont="1" applyFill="1" applyBorder="1" applyAlignment="1" applyProtection="1">
      <alignment horizontal="center" vertical="center" wrapText="1"/>
      <protection locked="0"/>
    </xf>
    <xf numFmtId="49" fontId="12" fillId="5" borderId="32" xfId="1" quotePrefix="1" applyNumberFormat="1" applyFont="1" applyFill="1" applyBorder="1" applyAlignment="1" applyProtection="1">
      <alignment horizontal="center" vertical="center" wrapText="1"/>
      <protection locked="0"/>
    </xf>
    <xf numFmtId="4" fontId="12" fillId="5" borderId="115" xfId="1" applyNumberFormat="1" applyFont="1" applyFill="1" applyBorder="1" applyAlignment="1" applyProtection="1">
      <alignment horizontal="right" vertical="center" wrapText="1"/>
      <protection locked="0"/>
    </xf>
    <xf numFmtId="4" fontId="12" fillId="5" borderId="31" xfId="1" applyNumberFormat="1" applyFont="1" applyFill="1" applyBorder="1" applyAlignment="1" applyProtection="1">
      <alignment horizontal="right" vertical="center" wrapText="1"/>
      <protection locked="0"/>
    </xf>
    <xf numFmtId="49" fontId="11" fillId="2" borderId="25" xfId="1" applyNumberFormat="1" applyFont="1" applyFill="1" applyBorder="1" applyAlignment="1" applyProtection="1">
      <alignment horizontal="left" vertical="center" wrapText="1"/>
      <protection locked="0"/>
    </xf>
    <xf numFmtId="4" fontId="12" fillId="2" borderId="17" xfId="1" applyNumberFormat="1" applyFont="1" applyFill="1" applyBorder="1" applyAlignment="1" applyProtection="1">
      <alignment horizontal="right" vertical="center" wrapText="1"/>
      <protection locked="0"/>
    </xf>
    <xf numFmtId="10" fontId="12" fillId="5" borderId="33" xfId="1" applyNumberFormat="1" applyFont="1" applyFill="1" applyBorder="1" applyAlignment="1" applyProtection="1">
      <alignment vertical="center" wrapText="1"/>
      <protection locked="0"/>
    </xf>
    <xf numFmtId="4" fontId="22" fillId="3" borderId="8" xfId="2" applyNumberFormat="1" applyFont="1" applyFill="1" applyBorder="1" applyAlignment="1" applyProtection="1">
      <alignment horizontal="right" vertical="center" wrapText="1"/>
      <protection locked="0"/>
    </xf>
    <xf numFmtId="4" fontId="23" fillId="10" borderId="8" xfId="2" applyNumberFormat="1" applyFont="1" applyFill="1" applyBorder="1" applyAlignment="1" applyProtection="1">
      <alignment horizontal="right" vertical="center" wrapText="1"/>
      <protection locked="0"/>
    </xf>
    <xf numFmtId="4" fontId="11" fillId="10" borderId="8" xfId="2" applyNumberFormat="1" applyFont="1" applyFill="1" applyBorder="1" applyAlignment="1" applyProtection="1">
      <alignment horizontal="right" vertical="center" wrapText="1"/>
      <protection locked="0"/>
    </xf>
    <xf numFmtId="4" fontId="11" fillId="12" borderId="8" xfId="2" applyNumberFormat="1" applyFont="1" applyFill="1" applyBorder="1" applyAlignment="1" applyProtection="1">
      <alignment horizontal="right" vertical="center" wrapText="1"/>
      <protection locked="0"/>
    </xf>
    <xf numFmtId="4" fontId="23" fillId="10" borderId="23" xfId="2" applyNumberFormat="1" applyFont="1" applyFill="1" applyBorder="1" applyAlignment="1" applyProtection="1">
      <alignment horizontal="right" vertical="center" wrapText="1"/>
      <protection locked="0"/>
    </xf>
    <xf numFmtId="4" fontId="16" fillId="8" borderId="6" xfId="2" applyNumberFormat="1" applyFont="1" applyFill="1" applyBorder="1" applyAlignment="1" applyProtection="1">
      <alignment horizontal="right" vertical="center" wrapText="1"/>
      <protection locked="0"/>
    </xf>
    <xf numFmtId="4" fontId="16" fillId="0" borderId="6" xfId="2" applyNumberFormat="1" applyFont="1" applyFill="1" applyBorder="1" applyAlignment="1" applyProtection="1">
      <alignment horizontal="right" vertical="center" wrapText="1"/>
      <protection locked="0"/>
    </xf>
    <xf numFmtId="4" fontId="11" fillId="10" borderId="23" xfId="2" applyNumberFormat="1" applyFont="1" applyFill="1" applyBorder="1" applyAlignment="1" applyProtection="1">
      <alignment horizontal="right" vertical="center" wrapText="1"/>
      <protection locked="0"/>
    </xf>
    <xf numFmtId="4" fontId="26" fillId="2" borderId="6" xfId="2" applyNumberFormat="1" applyFont="1" applyFill="1" applyBorder="1" applyAlignment="1" applyProtection="1">
      <alignment horizontal="right" vertical="center" wrapText="1"/>
      <protection locked="0"/>
    </xf>
    <xf numFmtId="0" fontId="5" fillId="0" borderId="176" xfId="2" applyNumberFormat="1" applyFont="1" applyFill="1" applyBorder="1" applyAlignment="1" applyProtection="1">
      <alignment horizontal="center" vertical="center" wrapText="1"/>
      <protection locked="0"/>
    </xf>
    <xf numFmtId="10" fontId="8" fillId="3" borderId="177" xfId="2" applyNumberFormat="1" applyFont="1" applyFill="1" applyBorder="1" applyAlignment="1" applyProtection="1">
      <alignment horizontal="right" vertical="center" wrapText="1"/>
      <protection locked="0"/>
    </xf>
    <xf numFmtId="10" fontId="11" fillId="10" borderId="177" xfId="2" applyNumberFormat="1" applyFont="1" applyFill="1" applyBorder="1" applyAlignment="1" applyProtection="1">
      <alignment horizontal="right" vertical="center" wrapText="1"/>
      <protection locked="0"/>
    </xf>
    <xf numFmtId="10" fontId="12" fillId="0" borderId="176" xfId="2" applyNumberFormat="1" applyFont="1" applyFill="1" applyBorder="1" applyAlignment="1" applyProtection="1">
      <alignment horizontal="right" vertical="center" wrapText="1"/>
      <protection locked="0"/>
    </xf>
    <xf numFmtId="10" fontId="12" fillId="8" borderId="176" xfId="2" applyNumberFormat="1" applyFont="1" applyFill="1" applyBorder="1" applyAlignment="1" applyProtection="1">
      <alignment horizontal="right" vertical="center" wrapText="1"/>
      <protection locked="0"/>
    </xf>
    <xf numFmtId="10" fontId="9" fillId="7" borderId="176" xfId="2" applyNumberFormat="1" applyFont="1" applyFill="1" applyBorder="1" applyAlignment="1" applyProtection="1">
      <alignment horizontal="right" vertical="center" wrapText="1"/>
      <protection locked="0"/>
    </xf>
    <xf numFmtId="10" fontId="11" fillId="12" borderId="177" xfId="2" applyNumberFormat="1" applyFont="1" applyFill="1" applyBorder="1" applyAlignment="1" applyProtection="1">
      <alignment horizontal="right" vertical="center" wrapText="1"/>
      <protection locked="0"/>
    </xf>
    <xf numFmtId="10" fontId="12" fillId="9" borderId="176" xfId="2" applyNumberFormat="1" applyFont="1" applyFill="1" applyBorder="1" applyAlignment="1" applyProtection="1">
      <alignment horizontal="right" vertical="center" wrapText="1"/>
      <protection locked="0"/>
    </xf>
    <xf numFmtId="10" fontId="12" fillId="0" borderId="114" xfId="2" applyNumberFormat="1" applyFont="1" applyFill="1" applyBorder="1" applyAlignment="1" applyProtection="1">
      <alignment horizontal="right" vertical="center" wrapText="1"/>
      <protection locked="0"/>
    </xf>
    <xf numFmtId="4" fontId="8" fillId="3" borderId="179" xfId="2" applyNumberFormat="1" applyFont="1" applyFill="1" applyBorder="1" applyAlignment="1" applyProtection="1">
      <alignment horizontal="right" vertical="center" wrapText="1"/>
      <protection locked="0"/>
    </xf>
    <xf numFmtId="10" fontId="11" fillId="10" borderId="179" xfId="2" applyNumberFormat="1" applyFont="1" applyFill="1" applyBorder="1" applyAlignment="1" applyProtection="1">
      <alignment horizontal="right" vertical="center" wrapText="1"/>
      <protection locked="0"/>
    </xf>
    <xf numFmtId="10" fontId="13" fillId="2" borderId="177" xfId="2" applyNumberFormat="1" applyFont="1" applyFill="1" applyBorder="1" applyAlignment="1" applyProtection="1">
      <alignment horizontal="right" vertical="center" wrapText="1"/>
      <protection locked="0"/>
    </xf>
    <xf numFmtId="4" fontId="4" fillId="0" borderId="0" xfId="2" applyNumberFormat="1" applyFont="1" applyFill="1" applyBorder="1" applyAlignment="1" applyProtection="1">
      <alignment horizontal="left"/>
      <protection locked="0"/>
    </xf>
    <xf numFmtId="4" fontId="12" fillId="0" borderId="6" xfId="2" applyNumberFormat="1" applyFont="1" applyFill="1" applyBorder="1" applyAlignment="1" applyProtection="1">
      <alignment horizontal="right" vertical="center" wrapText="1"/>
      <protection locked="0"/>
    </xf>
    <xf numFmtId="4" fontId="8" fillId="3" borderId="8" xfId="2" applyNumberFormat="1" applyFont="1" applyFill="1" applyBorder="1" applyAlignment="1" applyProtection="1">
      <alignment horizontal="right" vertical="center" wrapText="1"/>
      <protection locked="0"/>
    </xf>
    <xf numFmtId="4" fontId="11" fillId="2" borderId="9" xfId="2" applyNumberFormat="1" applyFont="1" applyFill="1" applyBorder="1" applyAlignment="1" applyProtection="1">
      <alignment horizontal="right" vertical="center" wrapText="1"/>
      <protection locked="0"/>
    </xf>
    <xf numFmtId="4" fontId="12" fillId="5" borderId="9" xfId="2" applyNumberFormat="1" applyFont="1" applyFill="1" applyBorder="1" applyAlignment="1" applyProtection="1">
      <alignment horizontal="right" vertical="center" wrapText="1"/>
      <protection locked="0"/>
    </xf>
    <xf numFmtId="3" fontId="36" fillId="0" borderId="133" xfId="41" applyNumberFormat="1" applyFont="1" applyBorder="1"/>
    <xf numFmtId="10" fontId="12" fillId="0" borderId="176" xfId="1" applyNumberFormat="1" applyFont="1" applyFill="1" applyBorder="1" applyAlignment="1" applyProtection="1">
      <alignment horizontal="right" vertical="center"/>
      <protection locked="0"/>
    </xf>
    <xf numFmtId="4" fontId="12" fillId="4" borderId="180" xfId="1" applyNumberFormat="1" applyFont="1" applyFill="1" applyBorder="1" applyAlignment="1" applyProtection="1">
      <alignment horizontal="right" vertical="center" wrapText="1"/>
      <protection locked="0"/>
    </xf>
    <xf numFmtId="4" fontId="12" fillId="5" borderId="9" xfId="1" applyNumberFormat="1" applyFont="1" applyFill="1" applyBorder="1" applyAlignment="1" applyProtection="1">
      <alignment horizontal="right" vertical="center" wrapText="1"/>
      <protection locked="0"/>
    </xf>
    <xf numFmtId="4" fontId="12" fillId="2" borderId="9" xfId="1" applyNumberFormat="1" applyFont="1" applyFill="1" applyBorder="1" applyAlignment="1" applyProtection="1">
      <alignment horizontal="right" vertical="center" wrapText="1"/>
      <protection locked="0"/>
    </xf>
    <xf numFmtId="49" fontId="11" fillId="4" borderId="2" xfId="1" applyNumberFormat="1" applyFont="1" applyFill="1" applyBorder="1" applyAlignment="1" applyProtection="1">
      <alignment horizontal="left" vertical="center" wrapText="1"/>
      <protection locked="0"/>
    </xf>
    <xf numFmtId="49" fontId="11" fillId="2" borderId="33" xfId="1" applyNumberFormat="1" applyFont="1" applyFill="1" applyBorder="1" applyAlignment="1" applyProtection="1">
      <alignment horizontal="left" vertical="center" wrapText="1"/>
      <protection locked="0"/>
    </xf>
    <xf numFmtId="49" fontId="11" fillId="2" borderId="20" xfId="1" applyNumberFormat="1" applyFont="1" applyFill="1" applyBorder="1" applyAlignment="1" applyProtection="1">
      <alignment horizontal="left" vertical="center" wrapText="1"/>
      <protection locked="0"/>
    </xf>
    <xf numFmtId="49" fontId="11" fillId="4" borderId="33" xfId="1" applyNumberFormat="1" applyFont="1" applyFill="1" applyBorder="1" applyAlignment="1" applyProtection="1">
      <alignment horizontal="left" vertical="center" wrapText="1"/>
      <protection locked="0"/>
    </xf>
    <xf numFmtId="4" fontId="12" fillId="0" borderId="115" xfId="1" applyNumberFormat="1" applyFont="1" applyFill="1" applyBorder="1" applyAlignment="1" applyProtection="1">
      <alignment horizontal="right" vertical="center"/>
      <protection locked="0"/>
    </xf>
    <xf numFmtId="4" fontId="12" fillId="0" borderId="181" xfId="1" applyNumberFormat="1" applyFont="1" applyFill="1" applyBorder="1" applyAlignment="1" applyProtection="1">
      <alignment horizontal="right" vertical="center"/>
      <protection locked="0"/>
    </xf>
    <xf numFmtId="49" fontId="11" fillId="2" borderId="17" xfId="1" quotePrefix="1" applyNumberFormat="1" applyFont="1" applyFill="1" applyBorder="1" applyAlignment="1" applyProtection="1">
      <alignment horizontal="center" vertical="center" wrapText="1"/>
      <protection locked="0"/>
    </xf>
    <xf numFmtId="10" fontId="12" fillId="5" borderId="182" xfId="1" applyNumberFormat="1" applyFont="1" applyFill="1" applyBorder="1" applyAlignment="1" applyProtection="1">
      <alignment horizontal="right" vertical="center" wrapText="1"/>
      <protection locked="0"/>
    </xf>
    <xf numFmtId="10" fontId="12" fillId="0" borderId="92" xfId="1" applyNumberFormat="1" applyFont="1" applyFill="1" applyBorder="1" applyAlignment="1" applyProtection="1">
      <alignment horizontal="right" vertical="center"/>
      <protection locked="0"/>
    </xf>
    <xf numFmtId="49" fontId="11" fillId="10" borderId="17" xfId="1" applyNumberFormat="1" applyFont="1" applyFill="1" applyBorder="1" applyAlignment="1" applyProtection="1">
      <alignment horizontal="center" vertical="center" wrapText="1"/>
      <protection locked="0"/>
    </xf>
    <xf numFmtId="49" fontId="11" fillId="10" borderId="17" xfId="1" applyNumberFormat="1" applyFont="1" applyFill="1" applyBorder="1" applyAlignment="1" applyProtection="1">
      <alignment horizontal="left" vertical="center" wrapText="1"/>
      <protection locked="0"/>
    </xf>
    <xf numFmtId="4" fontId="12" fillId="10" borderId="17" xfId="1" applyNumberFormat="1" applyFont="1" applyFill="1" applyBorder="1" applyAlignment="1" applyProtection="1">
      <alignment horizontal="right" vertical="center" wrapText="1"/>
      <protection locked="0"/>
    </xf>
    <xf numFmtId="10" fontId="12" fillId="10" borderId="182" xfId="1" applyNumberFormat="1" applyFont="1" applyFill="1" applyBorder="1" applyAlignment="1" applyProtection="1">
      <alignment horizontal="right" vertical="center" wrapText="1"/>
      <protection locked="0"/>
    </xf>
    <xf numFmtId="4" fontId="12" fillId="8" borderId="173" xfId="1" applyNumberFormat="1" applyFont="1" applyFill="1" applyBorder="1" applyAlignment="1" applyProtection="1">
      <alignment horizontal="right" vertical="center"/>
      <protection locked="0"/>
    </xf>
    <xf numFmtId="4" fontId="12" fillId="8" borderId="31" xfId="1" applyNumberFormat="1" applyFont="1" applyFill="1" applyBorder="1" applyAlignment="1" applyProtection="1">
      <alignment horizontal="right" vertical="center"/>
      <protection locked="0"/>
    </xf>
    <xf numFmtId="10" fontId="12" fillId="8" borderId="92" xfId="1" applyNumberFormat="1" applyFont="1" applyFill="1" applyBorder="1" applyAlignment="1" applyProtection="1">
      <alignment horizontal="right" vertical="center"/>
      <protection locked="0"/>
    </xf>
    <xf numFmtId="10" fontId="11" fillId="10" borderId="178" xfId="2" applyNumberFormat="1" applyFont="1" applyFill="1" applyBorder="1" applyAlignment="1" applyProtection="1">
      <alignment horizontal="right" vertical="center" wrapText="1"/>
      <protection locked="0"/>
    </xf>
    <xf numFmtId="10" fontId="12" fillId="5" borderId="176" xfId="2" applyNumberFormat="1" applyFont="1" applyFill="1" applyBorder="1" applyAlignment="1" applyProtection="1">
      <alignment horizontal="right" vertical="center" wrapText="1"/>
      <protection locked="0"/>
    </xf>
    <xf numFmtId="10" fontId="11" fillId="10" borderId="176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1" applyNumberFormat="1" applyFont="1" applyFill="1" applyBorder="1" applyAlignment="1" applyProtection="1">
      <alignment horizontal="left" vertical="top"/>
      <protection locked="0"/>
    </xf>
    <xf numFmtId="0" fontId="4" fillId="0" borderId="0" xfId="1" applyNumberFormat="1" applyFont="1" applyFill="1" applyBorder="1" applyAlignment="1" applyProtection="1">
      <alignment horizontal="left" wrapText="1"/>
      <protection locked="0"/>
    </xf>
    <xf numFmtId="0" fontId="3" fillId="0" borderId="0" xfId="1" applyNumberFormat="1" applyFont="1" applyFill="1" applyBorder="1" applyAlignment="1" applyProtection="1">
      <alignment horizontal="center" vertical="top"/>
      <protection locked="0"/>
    </xf>
    <xf numFmtId="49" fontId="3" fillId="2" borderId="0" xfId="1" applyNumberFormat="1" applyFont="1" applyFill="1" applyBorder="1" applyAlignment="1" applyProtection="1">
      <alignment horizontal="center" vertical="top" wrapText="1"/>
      <protection locked="0"/>
    </xf>
    <xf numFmtId="49" fontId="7" fillId="2" borderId="166" xfId="1" applyNumberFormat="1" applyFont="1" applyFill="1" applyBorder="1" applyAlignment="1" applyProtection="1">
      <alignment horizontal="right" vertical="center" wrapText="1"/>
      <protection locked="0"/>
    </xf>
    <xf numFmtId="49" fontId="7" fillId="2" borderId="19" xfId="1" applyNumberFormat="1" applyFont="1" applyFill="1" applyBorder="1" applyAlignment="1" applyProtection="1">
      <alignment horizontal="right" vertical="center" wrapText="1"/>
      <protection locked="0"/>
    </xf>
    <xf numFmtId="49" fontId="7" fillId="2" borderId="20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NumberFormat="1" applyFont="1" applyFill="1" applyBorder="1" applyAlignment="1" applyProtection="1">
      <alignment horizontal="left" vertical="top"/>
      <protection locked="0"/>
    </xf>
    <xf numFmtId="0" fontId="7" fillId="0" borderId="0" xfId="2" applyNumberFormat="1" applyFont="1" applyFill="1" applyBorder="1" applyAlignment="1" applyProtection="1">
      <alignment horizontal="left" wrapText="1"/>
      <protection locked="0"/>
    </xf>
    <xf numFmtId="49" fontId="3" fillId="2" borderId="0" xfId="2" applyNumberFormat="1" applyFont="1" applyFill="1" applyBorder="1" applyAlignment="1" applyProtection="1">
      <alignment horizontal="center" vertical="top" wrapText="1"/>
      <protection locked="0"/>
    </xf>
    <xf numFmtId="49" fontId="11" fillId="2" borderId="26" xfId="2" applyNumberFormat="1" applyFont="1" applyFill="1" applyBorder="1" applyAlignment="1" applyProtection="1">
      <alignment horizontal="center" vertical="center" wrapText="1"/>
      <protection locked="0"/>
    </xf>
    <xf numFmtId="49" fontId="13" fillId="2" borderId="1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47" xfId="40" applyNumberFormat="1" applyFont="1" applyFill="1" applyBorder="1" applyAlignment="1" applyProtection="1">
      <alignment horizontal="left" vertical="top" wrapText="1"/>
      <protection locked="0"/>
    </xf>
    <xf numFmtId="0" fontId="35" fillId="0" borderId="48" xfId="41" applyFont="1" applyBorder="1" applyAlignment="1">
      <alignment horizontal="center" vertical="top"/>
    </xf>
    <xf numFmtId="0" fontId="35" fillId="0" borderId="49" xfId="41" applyFont="1" applyBorder="1" applyAlignment="1">
      <alignment horizontal="left" vertical="top" wrapText="1"/>
    </xf>
    <xf numFmtId="0" fontId="19" fillId="0" borderId="50" xfId="41" applyBorder="1" applyAlignment="1">
      <alignment horizontal="center" vertical="top"/>
    </xf>
    <xf numFmtId="0" fontId="19" fillId="0" borderId="68" xfId="41" applyBorder="1" applyAlignment="1">
      <alignment horizontal="center" vertical="top"/>
    </xf>
    <xf numFmtId="0" fontId="36" fillId="0" borderId="49" xfId="41" applyFont="1" applyBorder="1" applyAlignment="1">
      <alignment horizontal="center" wrapText="1"/>
    </xf>
    <xf numFmtId="0" fontId="19" fillId="0" borderId="48" xfId="41" applyBorder="1" applyAlignment="1">
      <alignment horizontal="center"/>
    </xf>
    <xf numFmtId="0" fontId="19" fillId="0" borderId="49" xfId="41" applyBorder="1" applyAlignment="1">
      <alignment horizontal="center"/>
    </xf>
    <xf numFmtId="0" fontId="19" fillId="0" borderId="51" xfId="41" applyBorder="1" applyAlignment="1">
      <alignment horizontal="center"/>
    </xf>
    <xf numFmtId="0" fontId="19" fillId="0" borderId="56" xfId="41" applyBorder="1" applyAlignment="1">
      <alignment horizontal="center"/>
    </xf>
    <xf numFmtId="0" fontId="19" fillId="0" borderId="61" xfId="41" applyBorder="1" applyAlignment="1">
      <alignment horizontal="center"/>
    </xf>
    <xf numFmtId="0" fontId="19" fillId="0" borderId="62" xfId="41" applyBorder="1" applyAlignment="1">
      <alignment horizontal="center"/>
    </xf>
    <xf numFmtId="0" fontId="19" fillId="0" borderId="57" xfId="41" applyBorder="1" applyAlignment="1">
      <alignment horizontal="center"/>
    </xf>
    <xf numFmtId="0" fontId="19" fillId="0" borderId="63" xfId="41" applyBorder="1" applyAlignment="1">
      <alignment horizontal="center"/>
    </xf>
    <xf numFmtId="0" fontId="19" fillId="0" borderId="64" xfId="41" applyBorder="1" applyAlignment="1">
      <alignment horizontal="center"/>
    </xf>
    <xf numFmtId="0" fontId="19" fillId="0" borderId="52" xfId="41" applyBorder="1" applyAlignment="1">
      <alignment horizontal="center"/>
    </xf>
    <xf numFmtId="0" fontId="19" fillId="0" borderId="53" xfId="41" applyBorder="1" applyAlignment="1">
      <alignment horizontal="center"/>
    </xf>
    <xf numFmtId="0" fontId="19" fillId="0" borderId="54" xfId="41" applyBorder="1" applyAlignment="1">
      <alignment horizontal="center"/>
    </xf>
    <xf numFmtId="0" fontId="19" fillId="0" borderId="55" xfId="41" applyBorder="1" applyAlignment="1">
      <alignment horizontal="center"/>
    </xf>
    <xf numFmtId="0" fontId="35" fillId="0" borderId="50" xfId="41" applyFont="1" applyBorder="1" applyAlignment="1">
      <alignment horizontal="center" vertical="center"/>
    </xf>
    <xf numFmtId="0" fontId="35" fillId="0" borderId="79" xfId="41" applyFont="1" applyBorder="1" applyAlignment="1">
      <alignment horizontal="center" vertical="center"/>
    </xf>
    <xf numFmtId="0" fontId="35" fillId="0" borderId="99" xfId="41" applyFont="1" applyBorder="1" applyAlignment="1">
      <alignment horizontal="center" vertical="center"/>
    </xf>
    <xf numFmtId="0" fontId="35" fillId="0" borderId="98" xfId="41" applyFont="1" applyBorder="1" applyAlignment="1">
      <alignment horizontal="center" vertical="center"/>
    </xf>
    <xf numFmtId="0" fontId="35" fillId="0" borderId="68" xfId="41" applyFont="1" applyBorder="1" applyAlignment="1">
      <alignment horizontal="center" vertical="center"/>
    </xf>
    <xf numFmtId="0" fontId="35" fillId="0" borderId="127" xfId="41" applyFont="1" applyBorder="1" applyAlignment="1">
      <alignment horizontal="center" vertical="center"/>
    </xf>
    <xf numFmtId="0" fontId="4" fillId="0" borderId="66" xfId="1" applyNumberFormat="1" applyFont="1" applyFill="1" applyBorder="1" applyAlignment="1" applyProtection="1">
      <alignment horizontal="center"/>
      <protection locked="0"/>
    </xf>
    <xf numFmtId="0" fontId="4" fillId="0" borderId="67" xfId="1" applyNumberFormat="1" applyFont="1" applyFill="1" applyBorder="1" applyAlignment="1" applyProtection="1">
      <alignment horizontal="center"/>
      <protection locked="0"/>
    </xf>
    <xf numFmtId="0" fontId="19" fillId="0" borderId="79" xfId="41" applyFont="1" applyBorder="1" applyAlignment="1">
      <alignment horizontal="left" vertical="top" wrapText="1"/>
    </xf>
    <xf numFmtId="0" fontId="19" fillId="0" borderId="98" xfId="41" applyFont="1" applyBorder="1" applyAlignment="1">
      <alignment horizontal="left" vertical="top" wrapText="1"/>
    </xf>
    <xf numFmtId="0" fontId="19" fillId="0" borderId="104" xfId="41" applyFont="1" applyBorder="1" applyAlignment="1">
      <alignment horizontal="left" vertical="top" wrapText="1"/>
    </xf>
    <xf numFmtId="0" fontId="19" fillId="0" borderId="80" xfId="41" applyFont="1" applyBorder="1" applyAlignment="1">
      <alignment horizontal="left" vertical="top" wrapText="1"/>
    </xf>
    <xf numFmtId="0" fontId="19" fillId="0" borderId="80" xfId="41" applyBorder="1" applyAlignment="1">
      <alignment horizontal="left" vertical="top" wrapText="1"/>
    </xf>
    <xf numFmtId="0" fontId="19" fillId="0" borderId="122" xfId="41" applyFont="1" applyBorder="1" applyAlignment="1">
      <alignment horizontal="left" vertical="top" wrapText="1"/>
    </xf>
    <xf numFmtId="0" fontId="19" fillId="0" borderId="65" xfId="41" applyBorder="1" applyAlignment="1">
      <alignment horizontal="center"/>
    </xf>
    <xf numFmtId="0" fontId="19" fillId="0" borderId="58" xfId="41" applyBorder="1" applyAlignment="1">
      <alignment horizontal="center"/>
    </xf>
    <xf numFmtId="0" fontId="19" fillId="0" borderId="59" xfId="41" applyBorder="1" applyAlignment="1">
      <alignment horizontal="center"/>
    </xf>
    <xf numFmtId="0" fontId="19" fillId="0" borderId="60" xfId="41" applyBorder="1" applyAlignment="1">
      <alignment horizontal="center"/>
    </xf>
    <xf numFmtId="0" fontId="19" fillId="0" borderId="120" xfId="41" applyFont="1" applyBorder="1" applyAlignment="1">
      <alignment horizontal="right" vertical="top"/>
    </xf>
    <xf numFmtId="0" fontId="19" fillId="0" borderId="99" xfId="41" applyFont="1" applyBorder="1" applyAlignment="1">
      <alignment horizontal="right" vertical="top"/>
    </xf>
    <xf numFmtId="0" fontId="19" fillId="0" borderId="118" xfId="41" applyFont="1" applyBorder="1" applyAlignment="1">
      <alignment horizontal="right" vertical="top"/>
    </xf>
    <xf numFmtId="0" fontId="35" fillId="0" borderId="51" xfId="41" applyFont="1" applyBorder="1" applyAlignment="1">
      <alignment horizontal="center" vertical="center"/>
    </xf>
    <xf numFmtId="0" fontId="35" fillId="0" borderId="50" xfId="41" applyFont="1" applyBorder="1" applyAlignment="1">
      <alignment horizontal="left" vertical="top" wrapText="1"/>
    </xf>
    <xf numFmtId="0" fontId="4" fillId="0" borderId="79" xfId="40" applyNumberFormat="1" applyFont="1" applyFill="1" applyBorder="1" applyAlignment="1" applyProtection="1">
      <alignment horizontal="left" vertical="top"/>
      <protection locked="0"/>
    </xf>
    <xf numFmtId="0" fontId="4" fillId="0" borderId="99" xfId="40" applyNumberFormat="1" applyFont="1" applyFill="1" applyBorder="1" applyAlignment="1" applyProtection="1">
      <alignment horizontal="left" vertical="top"/>
      <protection locked="0"/>
    </xf>
    <xf numFmtId="0" fontId="4" fillId="0" borderId="98" xfId="40" applyNumberFormat="1" applyFont="1" applyFill="1" applyBorder="1" applyAlignment="1" applyProtection="1">
      <alignment horizontal="left" vertical="top"/>
      <protection locked="0"/>
    </xf>
    <xf numFmtId="0" fontId="4" fillId="0" borderId="68" xfId="40" applyNumberFormat="1" applyFont="1" applyFill="1" applyBorder="1" applyAlignment="1" applyProtection="1">
      <alignment horizontal="left" vertical="top"/>
      <protection locked="0"/>
    </xf>
    <xf numFmtId="0" fontId="4" fillId="0" borderId="127" xfId="40" applyNumberFormat="1" applyFont="1" applyFill="1" applyBorder="1" applyAlignment="1" applyProtection="1">
      <alignment horizontal="left" vertical="top"/>
      <protection locked="0"/>
    </xf>
    <xf numFmtId="0" fontId="35" fillId="0" borderId="49" xfId="41" applyFont="1" applyBorder="1" applyAlignment="1">
      <alignment horizontal="left" vertical="center"/>
    </xf>
  </cellXfs>
  <cellStyles count="42">
    <cellStyle name="ConditionalStyle_1" xfId="3"/>
    <cellStyle name="Dziesiętny 2" xfId="4"/>
    <cellStyle name="Excel Built-in Normal" xfId="5"/>
    <cellStyle name="Normalny" xfId="0" builtinId="0"/>
    <cellStyle name="Normalny 10" xfId="2"/>
    <cellStyle name="Normalny 11" xfId="6"/>
    <cellStyle name="Normalny 12" xfId="7"/>
    <cellStyle name="Normalny 13" xfId="8"/>
    <cellStyle name="Normalny 14" xfId="9"/>
    <cellStyle name="Normalny 15" xfId="10"/>
    <cellStyle name="Normalny 16" xfId="11"/>
    <cellStyle name="Normalny 17" xfId="12"/>
    <cellStyle name="Normalny 18" xfId="13"/>
    <cellStyle name="Normalny 19" xfId="14"/>
    <cellStyle name="Normalny 2" xfId="15"/>
    <cellStyle name="Normalny 2 2" xfId="16"/>
    <cellStyle name="Normalny 20" xfId="17"/>
    <cellStyle name="Normalny 20 2" xfId="18"/>
    <cellStyle name="Normalny 21" xfId="19"/>
    <cellStyle name="Normalny 22" xfId="20"/>
    <cellStyle name="Normalny 23" xfId="21"/>
    <cellStyle name="Normalny 24" xfId="22"/>
    <cellStyle name="Normalny 25" xfId="23"/>
    <cellStyle name="Normalny 26" xfId="24"/>
    <cellStyle name="Normalny 27" xfId="25"/>
    <cellStyle name="Normalny 28" xfId="26"/>
    <cellStyle name="Normalny 29" xfId="1"/>
    <cellStyle name="Normalny 3" xfId="27"/>
    <cellStyle name="Normalny 3 2" xfId="28"/>
    <cellStyle name="Normalny 4" xfId="29"/>
    <cellStyle name="Normalny 4 2" xfId="30"/>
    <cellStyle name="Normalny 5" xfId="31"/>
    <cellStyle name="Normalny 5 2" xfId="32"/>
    <cellStyle name="Normalny 5 3" xfId="33"/>
    <cellStyle name="Normalny 5 3 2" xfId="34"/>
    <cellStyle name="Normalny 6" xfId="35"/>
    <cellStyle name="Normalny 7" xfId="36"/>
    <cellStyle name="Normalny 7 2" xfId="37"/>
    <cellStyle name="Normalny 8" xfId="38"/>
    <cellStyle name="Normalny 9" xfId="39"/>
    <cellStyle name="Normalny_Prognoza długu 2011 do WPF mat. pomocnicze" xfId="40"/>
    <cellStyle name="Normalny_Załacznik Nr 3  do Zarządzenia nr 179 Prognoza długu" xfId="41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45"/>
  <sheetViews>
    <sheetView showGridLines="0" zoomScaleNormal="100" workbookViewId="0">
      <pane xSplit="5" ySplit="4" topLeftCell="F208" activePane="bottomRight" state="frozen"/>
      <selection pane="topRight" activeCell="F1" sqref="F1"/>
      <selection pane="bottomLeft" activeCell="A5" sqref="A5"/>
      <selection pane="bottomRight" activeCell="B219" sqref="B219:J219"/>
    </sheetView>
  </sheetViews>
  <sheetFormatPr defaultRowHeight="12.75" x14ac:dyDescent="0.2"/>
  <cols>
    <col min="1" max="1" width="5.5703125" style="1" customWidth="1"/>
    <col min="2" max="3" width="7.85546875" style="1" customWidth="1"/>
    <col min="4" max="4" width="43.85546875" style="1" customWidth="1"/>
    <col min="5" max="5" width="13" style="1" customWidth="1"/>
    <col min="6" max="6" width="12.5703125" style="1" customWidth="1"/>
    <col min="7" max="7" width="9.140625" style="1"/>
    <col min="8" max="8" width="13" style="1" customWidth="1"/>
    <col min="9" max="9" width="12.85546875" style="1" customWidth="1"/>
    <col min="10" max="10" width="9.140625" style="1"/>
    <col min="11" max="11" width="12.7109375" style="1" hidden="1" customWidth="1"/>
    <col min="12" max="12" width="12.28515625" style="1" hidden="1" customWidth="1"/>
    <col min="13" max="13" width="10.85546875" style="1" hidden="1" customWidth="1"/>
    <col min="14" max="14" width="12.7109375" style="1" hidden="1" customWidth="1"/>
    <col min="15" max="15" width="0" style="1" hidden="1" customWidth="1"/>
    <col min="16" max="16" width="10.85546875" style="1" hidden="1" customWidth="1"/>
    <col min="17" max="27" width="0" style="1" hidden="1" customWidth="1"/>
    <col min="28" max="28" width="10.7109375" style="1" hidden="1" customWidth="1"/>
    <col min="29" max="29" width="12.7109375" style="1" hidden="1" customWidth="1"/>
    <col min="30" max="30" width="0" style="1" hidden="1" customWidth="1"/>
    <col min="31" max="205" width="9.140625" style="1"/>
    <col min="206" max="206" width="2.140625" style="1" customWidth="1"/>
    <col min="207" max="207" width="8.7109375" style="1" customWidth="1"/>
    <col min="208" max="208" width="9.85546875" style="1" customWidth="1"/>
    <col min="209" max="209" width="1" style="1" customWidth="1"/>
    <col min="210" max="210" width="10.85546875" style="1" customWidth="1"/>
    <col min="211" max="211" width="54.5703125" style="1" customWidth="1"/>
    <col min="212" max="213" width="22.85546875" style="1" customWidth="1"/>
    <col min="214" max="214" width="9.85546875" style="1" customWidth="1"/>
    <col min="215" max="215" width="13" style="1" customWidth="1"/>
    <col min="216" max="216" width="1" style="1" customWidth="1"/>
    <col min="217" max="461" width="9.140625" style="1"/>
    <col min="462" max="462" width="2.140625" style="1" customWidth="1"/>
    <col min="463" max="463" width="8.7109375" style="1" customWidth="1"/>
    <col min="464" max="464" width="9.85546875" style="1" customWidth="1"/>
    <col min="465" max="465" width="1" style="1" customWidth="1"/>
    <col min="466" max="466" width="10.85546875" style="1" customWidth="1"/>
    <col min="467" max="467" width="54.5703125" style="1" customWidth="1"/>
    <col min="468" max="469" width="22.85546875" style="1" customWidth="1"/>
    <col min="470" max="470" width="9.85546875" style="1" customWidth="1"/>
    <col min="471" max="471" width="13" style="1" customWidth="1"/>
    <col min="472" max="472" width="1" style="1" customWidth="1"/>
    <col min="473" max="717" width="9.140625" style="1"/>
    <col min="718" max="718" width="2.140625" style="1" customWidth="1"/>
    <col min="719" max="719" width="8.7109375" style="1" customWidth="1"/>
    <col min="720" max="720" width="9.85546875" style="1" customWidth="1"/>
    <col min="721" max="721" width="1" style="1" customWidth="1"/>
    <col min="722" max="722" width="10.85546875" style="1" customWidth="1"/>
    <col min="723" max="723" width="54.5703125" style="1" customWidth="1"/>
    <col min="724" max="725" width="22.85546875" style="1" customWidth="1"/>
    <col min="726" max="726" width="9.85546875" style="1" customWidth="1"/>
    <col min="727" max="727" width="13" style="1" customWidth="1"/>
    <col min="728" max="728" width="1" style="1" customWidth="1"/>
    <col min="729" max="973" width="9.140625" style="1"/>
    <col min="974" max="974" width="2.140625" style="1" customWidth="1"/>
    <col min="975" max="975" width="8.7109375" style="1" customWidth="1"/>
    <col min="976" max="976" width="9.85546875" style="1" customWidth="1"/>
    <col min="977" max="977" width="1" style="1" customWidth="1"/>
    <col min="978" max="978" width="10.85546875" style="1" customWidth="1"/>
    <col min="979" max="979" width="54.5703125" style="1" customWidth="1"/>
    <col min="980" max="981" width="22.85546875" style="1" customWidth="1"/>
    <col min="982" max="982" width="9.85546875" style="1" customWidth="1"/>
    <col min="983" max="983" width="13" style="1" customWidth="1"/>
    <col min="984" max="984" width="1" style="1" customWidth="1"/>
    <col min="985" max="1229" width="9.140625" style="1"/>
    <col min="1230" max="1230" width="2.140625" style="1" customWidth="1"/>
    <col min="1231" max="1231" width="8.7109375" style="1" customWidth="1"/>
    <col min="1232" max="1232" width="9.85546875" style="1" customWidth="1"/>
    <col min="1233" max="1233" width="1" style="1" customWidth="1"/>
    <col min="1234" max="1234" width="10.85546875" style="1" customWidth="1"/>
    <col min="1235" max="1235" width="54.5703125" style="1" customWidth="1"/>
    <col min="1236" max="1237" width="22.85546875" style="1" customWidth="1"/>
    <col min="1238" max="1238" width="9.85546875" style="1" customWidth="1"/>
    <col min="1239" max="1239" width="13" style="1" customWidth="1"/>
    <col min="1240" max="1240" width="1" style="1" customWidth="1"/>
    <col min="1241" max="1485" width="9.140625" style="1"/>
    <col min="1486" max="1486" width="2.140625" style="1" customWidth="1"/>
    <col min="1487" max="1487" width="8.7109375" style="1" customWidth="1"/>
    <col min="1488" max="1488" width="9.85546875" style="1" customWidth="1"/>
    <col min="1489" max="1489" width="1" style="1" customWidth="1"/>
    <col min="1490" max="1490" width="10.85546875" style="1" customWidth="1"/>
    <col min="1491" max="1491" width="54.5703125" style="1" customWidth="1"/>
    <col min="1492" max="1493" width="22.85546875" style="1" customWidth="1"/>
    <col min="1494" max="1494" width="9.85546875" style="1" customWidth="1"/>
    <col min="1495" max="1495" width="13" style="1" customWidth="1"/>
    <col min="1496" max="1496" width="1" style="1" customWidth="1"/>
    <col min="1497" max="1741" width="9.140625" style="1"/>
    <col min="1742" max="1742" width="2.140625" style="1" customWidth="1"/>
    <col min="1743" max="1743" width="8.7109375" style="1" customWidth="1"/>
    <col min="1744" max="1744" width="9.85546875" style="1" customWidth="1"/>
    <col min="1745" max="1745" width="1" style="1" customWidth="1"/>
    <col min="1746" max="1746" width="10.85546875" style="1" customWidth="1"/>
    <col min="1747" max="1747" width="54.5703125" style="1" customWidth="1"/>
    <col min="1748" max="1749" width="22.85546875" style="1" customWidth="1"/>
    <col min="1750" max="1750" width="9.85546875" style="1" customWidth="1"/>
    <col min="1751" max="1751" width="13" style="1" customWidth="1"/>
    <col min="1752" max="1752" width="1" style="1" customWidth="1"/>
    <col min="1753" max="1997" width="9.140625" style="1"/>
    <col min="1998" max="1998" width="2.140625" style="1" customWidth="1"/>
    <col min="1999" max="1999" width="8.7109375" style="1" customWidth="1"/>
    <col min="2000" max="2000" width="9.85546875" style="1" customWidth="1"/>
    <col min="2001" max="2001" width="1" style="1" customWidth="1"/>
    <col min="2002" max="2002" width="10.85546875" style="1" customWidth="1"/>
    <col min="2003" max="2003" width="54.5703125" style="1" customWidth="1"/>
    <col min="2004" max="2005" width="22.85546875" style="1" customWidth="1"/>
    <col min="2006" max="2006" width="9.85546875" style="1" customWidth="1"/>
    <col min="2007" max="2007" width="13" style="1" customWidth="1"/>
    <col min="2008" max="2008" width="1" style="1" customWidth="1"/>
    <col min="2009" max="2253" width="9.140625" style="1"/>
    <col min="2254" max="2254" width="2.140625" style="1" customWidth="1"/>
    <col min="2255" max="2255" width="8.7109375" style="1" customWidth="1"/>
    <col min="2256" max="2256" width="9.85546875" style="1" customWidth="1"/>
    <col min="2257" max="2257" width="1" style="1" customWidth="1"/>
    <col min="2258" max="2258" width="10.85546875" style="1" customWidth="1"/>
    <col min="2259" max="2259" width="54.5703125" style="1" customWidth="1"/>
    <col min="2260" max="2261" width="22.85546875" style="1" customWidth="1"/>
    <col min="2262" max="2262" width="9.85546875" style="1" customWidth="1"/>
    <col min="2263" max="2263" width="13" style="1" customWidth="1"/>
    <col min="2264" max="2264" width="1" style="1" customWidth="1"/>
    <col min="2265" max="2509" width="9.140625" style="1"/>
    <col min="2510" max="2510" width="2.140625" style="1" customWidth="1"/>
    <col min="2511" max="2511" width="8.7109375" style="1" customWidth="1"/>
    <col min="2512" max="2512" width="9.85546875" style="1" customWidth="1"/>
    <col min="2513" max="2513" width="1" style="1" customWidth="1"/>
    <col min="2514" max="2514" width="10.85546875" style="1" customWidth="1"/>
    <col min="2515" max="2515" width="54.5703125" style="1" customWidth="1"/>
    <col min="2516" max="2517" width="22.85546875" style="1" customWidth="1"/>
    <col min="2518" max="2518" width="9.85546875" style="1" customWidth="1"/>
    <col min="2519" max="2519" width="13" style="1" customWidth="1"/>
    <col min="2520" max="2520" width="1" style="1" customWidth="1"/>
    <col min="2521" max="2765" width="9.140625" style="1"/>
    <col min="2766" max="2766" width="2.140625" style="1" customWidth="1"/>
    <col min="2767" max="2767" width="8.7109375" style="1" customWidth="1"/>
    <col min="2768" max="2768" width="9.85546875" style="1" customWidth="1"/>
    <col min="2769" max="2769" width="1" style="1" customWidth="1"/>
    <col min="2770" max="2770" width="10.85546875" style="1" customWidth="1"/>
    <col min="2771" max="2771" width="54.5703125" style="1" customWidth="1"/>
    <col min="2772" max="2773" width="22.85546875" style="1" customWidth="1"/>
    <col min="2774" max="2774" width="9.85546875" style="1" customWidth="1"/>
    <col min="2775" max="2775" width="13" style="1" customWidth="1"/>
    <col min="2776" max="2776" width="1" style="1" customWidth="1"/>
    <col min="2777" max="3021" width="9.140625" style="1"/>
    <col min="3022" max="3022" width="2.140625" style="1" customWidth="1"/>
    <col min="3023" max="3023" width="8.7109375" style="1" customWidth="1"/>
    <col min="3024" max="3024" width="9.85546875" style="1" customWidth="1"/>
    <col min="3025" max="3025" width="1" style="1" customWidth="1"/>
    <col min="3026" max="3026" width="10.85546875" style="1" customWidth="1"/>
    <col min="3027" max="3027" width="54.5703125" style="1" customWidth="1"/>
    <col min="3028" max="3029" width="22.85546875" style="1" customWidth="1"/>
    <col min="3030" max="3030" width="9.85546875" style="1" customWidth="1"/>
    <col min="3031" max="3031" width="13" style="1" customWidth="1"/>
    <col min="3032" max="3032" width="1" style="1" customWidth="1"/>
    <col min="3033" max="3277" width="9.140625" style="1"/>
    <col min="3278" max="3278" width="2.140625" style="1" customWidth="1"/>
    <col min="3279" max="3279" width="8.7109375" style="1" customWidth="1"/>
    <col min="3280" max="3280" width="9.85546875" style="1" customWidth="1"/>
    <col min="3281" max="3281" width="1" style="1" customWidth="1"/>
    <col min="3282" max="3282" width="10.85546875" style="1" customWidth="1"/>
    <col min="3283" max="3283" width="54.5703125" style="1" customWidth="1"/>
    <col min="3284" max="3285" width="22.85546875" style="1" customWidth="1"/>
    <col min="3286" max="3286" width="9.85546875" style="1" customWidth="1"/>
    <col min="3287" max="3287" width="13" style="1" customWidth="1"/>
    <col min="3288" max="3288" width="1" style="1" customWidth="1"/>
    <col min="3289" max="3533" width="9.140625" style="1"/>
    <col min="3534" max="3534" width="2.140625" style="1" customWidth="1"/>
    <col min="3535" max="3535" width="8.7109375" style="1" customWidth="1"/>
    <col min="3536" max="3536" width="9.85546875" style="1" customWidth="1"/>
    <col min="3537" max="3537" width="1" style="1" customWidth="1"/>
    <col min="3538" max="3538" width="10.85546875" style="1" customWidth="1"/>
    <col min="3539" max="3539" width="54.5703125" style="1" customWidth="1"/>
    <col min="3540" max="3541" width="22.85546875" style="1" customWidth="1"/>
    <col min="3542" max="3542" width="9.85546875" style="1" customWidth="1"/>
    <col min="3543" max="3543" width="13" style="1" customWidth="1"/>
    <col min="3544" max="3544" width="1" style="1" customWidth="1"/>
    <col min="3545" max="3789" width="9.140625" style="1"/>
    <col min="3790" max="3790" width="2.140625" style="1" customWidth="1"/>
    <col min="3791" max="3791" width="8.7109375" style="1" customWidth="1"/>
    <col min="3792" max="3792" width="9.85546875" style="1" customWidth="1"/>
    <col min="3793" max="3793" width="1" style="1" customWidth="1"/>
    <col min="3794" max="3794" width="10.85546875" style="1" customWidth="1"/>
    <col min="3795" max="3795" width="54.5703125" style="1" customWidth="1"/>
    <col min="3796" max="3797" width="22.85546875" style="1" customWidth="1"/>
    <col min="3798" max="3798" width="9.85546875" style="1" customWidth="1"/>
    <col min="3799" max="3799" width="13" style="1" customWidth="1"/>
    <col min="3800" max="3800" width="1" style="1" customWidth="1"/>
    <col min="3801" max="4045" width="9.140625" style="1"/>
    <col min="4046" max="4046" width="2.140625" style="1" customWidth="1"/>
    <col min="4047" max="4047" width="8.7109375" style="1" customWidth="1"/>
    <col min="4048" max="4048" width="9.85546875" style="1" customWidth="1"/>
    <col min="4049" max="4049" width="1" style="1" customWidth="1"/>
    <col min="4050" max="4050" width="10.85546875" style="1" customWidth="1"/>
    <col min="4051" max="4051" width="54.5703125" style="1" customWidth="1"/>
    <col min="4052" max="4053" width="22.85546875" style="1" customWidth="1"/>
    <col min="4054" max="4054" width="9.85546875" style="1" customWidth="1"/>
    <col min="4055" max="4055" width="13" style="1" customWidth="1"/>
    <col min="4056" max="4056" width="1" style="1" customWidth="1"/>
    <col min="4057" max="4301" width="9.140625" style="1"/>
    <col min="4302" max="4302" width="2.140625" style="1" customWidth="1"/>
    <col min="4303" max="4303" width="8.7109375" style="1" customWidth="1"/>
    <col min="4304" max="4304" width="9.85546875" style="1" customWidth="1"/>
    <col min="4305" max="4305" width="1" style="1" customWidth="1"/>
    <col min="4306" max="4306" width="10.85546875" style="1" customWidth="1"/>
    <col min="4307" max="4307" width="54.5703125" style="1" customWidth="1"/>
    <col min="4308" max="4309" width="22.85546875" style="1" customWidth="1"/>
    <col min="4310" max="4310" width="9.85546875" style="1" customWidth="1"/>
    <col min="4311" max="4311" width="13" style="1" customWidth="1"/>
    <col min="4312" max="4312" width="1" style="1" customWidth="1"/>
    <col min="4313" max="4557" width="9.140625" style="1"/>
    <col min="4558" max="4558" width="2.140625" style="1" customWidth="1"/>
    <col min="4559" max="4559" width="8.7109375" style="1" customWidth="1"/>
    <col min="4560" max="4560" width="9.85546875" style="1" customWidth="1"/>
    <col min="4561" max="4561" width="1" style="1" customWidth="1"/>
    <col min="4562" max="4562" width="10.85546875" style="1" customWidth="1"/>
    <col min="4563" max="4563" width="54.5703125" style="1" customWidth="1"/>
    <col min="4564" max="4565" width="22.85546875" style="1" customWidth="1"/>
    <col min="4566" max="4566" width="9.85546875" style="1" customWidth="1"/>
    <col min="4567" max="4567" width="13" style="1" customWidth="1"/>
    <col min="4568" max="4568" width="1" style="1" customWidth="1"/>
    <col min="4569" max="4813" width="9.140625" style="1"/>
    <col min="4814" max="4814" width="2.140625" style="1" customWidth="1"/>
    <col min="4815" max="4815" width="8.7109375" style="1" customWidth="1"/>
    <col min="4816" max="4816" width="9.85546875" style="1" customWidth="1"/>
    <col min="4817" max="4817" width="1" style="1" customWidth="1"/>
    <col min="4818" max="4818" width="10.85546875" style="1" customWidth="1"/>
    <col min="4819" max="4819" width="54.5703125" style="1" customWidth="1"/>
    <col min="4820" max="4821" width="22.85546875" style="1" customWidth="1"/>
    <col min="4822" max="4822" width="9.85546875" style="1" customWidth="1"/>
    <col min="4823" max="4823" width="13" style="1" customWidth="1"/>
    <col min="4824" max="4824" width="1" style="1" customWidth="1"/>
    <col min="4825" max="5069" width="9.140625" style="1"/>
    <col min="5070" max="5070" width="2.140625" style="1" customWidth="1"/>
    <col min="5071" max="5071" width="8.7109375" style="1" customWidth="1"/>
    <col min="5072" max="5072" width="9.85546875" style="1" customWidth="1"/>
    <col min="5073" max="5073" width="1" style="1" customWidth="1"/>
    <col min="5074" max="5074" width="10.85546875" style="1" customWidth="1"/>
    <col min="5075" max="5075" width="54.5703125" style="1" customWidth="1"/>
    <col min="5076" max="5077" width="22.85546875" style="1" customWidth="1"/>
    <col min="5078" max="5078" width="9.85546875" style="1" customWidth="1"/>
    <col min="5079" max="5079" width="13" style="1" customWidth="1"/>
    <col min="5080" max="5080" width="1" style="1" customWidth="1"/>
    <col min="5081" max="5325" width="9.140625" style="1"/>
    <col min="5326" max="5326" width="2.140625" style="1" customWidth="1"/>
    <col min="5327" max="5327" width="8.7109375" style="1" customWidth="1"/>
    <col min="5328" max="5328" width="9.85546875" style="1" customWidth="1"/>
    <col min="5329" max="5329" width="1" style="1" customWidth="1"/>
    <col min="5330" max="5330" width="10.85546875" style="1" customWidth="1"/>
    <col min="5331" max="5331" width="54.5703125" style="1" customWidth="1"/>
    <col min="5332" max="5333" width="22.85546875" style="1" customWidth="1"/>
    <col min="5334" max="5334" width="9.85546875" style="1" customWidth="1"/>
    <col min="5335" max="5335" width="13" style="1" customWidth="1"/>
    <col min="5336" max="5336" width="1" style="1" customWidth="1"/>
    <col min="5337" max="5581" width="9.140625" style="1"/>
    <col min="5582" max="5582" width="2.140625" style="1" customWidth="1"/>
    <col min="5583" max="5583" width="8.7109375" style="1" customWidth="1"/>
    <col min="5584" max="5584" width="9.85546875" style="1" customWidth="1"/>
    <col min="5585" max="5585" width="1" style="1" customWidth="1"/>
    <col min="5586" max="5586" width="10.85546875" style="1" customWidth="1"/>
    <col min="5587" max="5587" width="54.5703125" style="1" customWidth="1"/>
    <col min="5588" max="5589" width="22.85546875" style="1" customWidth="1"/>
    <col min="5590" max="5590" width="9.85546875" style="1" customWidth="1"/>
    <col min="5591" max="5591" width="13" style="1" customWidth="1"/>
    <col min="5592" max="5592" width="1" style="1" customWidth="1"/>
    <col min="5593" max="5837" width="9.140625" style="1"/>
    <col min="5838" max="5838" width="2.140625" style="1" customWidth="1"/>
    <col min="5839" max="5839" width="8.7109375" style="1" customWidth="1"/>
    <col min="5840" max="5840" width="9.85546875" style="1" customWidth="1"/>
    <col min="5841" max="5841" width="1" style="1" customWidth="1"/>
    <col min="5842" max="5842" width="10.85546875" style="1" customWidth="1"/>
    <col min="5843" max="5843" width="54.5703125" style="1" customWidth="1"/>
    <col min="5844" max="5845" width="22.85546875" style="1" customWidth="1"/>
    <col min="5846" max="5846" width="9.85546875" style="1" customWidth="1"/>
    <col min="5847" max="5847" width="13" style="1" customWidth="1"/>
    <col min="5848" max="5848" width="1" style="1" customWidth="1"/>
    <col min="5849" max="6093" width="9.140625" style="1"/>
    <col min="6094" max="6094" width="2.140625" style="1" customWidth="1"/>
    <col min="6095" max="6095" width="8.7109375" style="1" customWidth="1"/>
    <col min="6096" max="6096" width="9.85546875" style="1" customWidth="1"/>
    <col min="6097" max="6097" width="1" style="1" customWidth="1"/>
    <col min="6098" max="6098" width="10.85546875" style="1" customWidth="1"/>
    <col min="6099" max="6099" width="54.5703125" style="1" customWidth="1"/>
    <col min="6100" max="6101" width="22.85546875" style="1" customWidth="1"/>
    <col min="6102" max="6102" width="9.85546875" style="1" customWidth="1"/>
    <col min="6103" max="6103" width="13" style="1" customWidth="1"/>
    <col min="6104" max="6104" width="1" style="1" customWidth="1"/>
    <col min="6105" max="6349" width="9.140625" style="1"/>
    <col min="6350" max="6350" width="2.140625" style="1" customWidth="1"/>
    <col min="6351" max="6351" width="8.7109375" style="1" customWidth="1"/>
    <col min="6352" max="6352" width="9.85546875" style="1" customWidth="1"/>
    <col min="6353" max="6353" width="1" style="1" customWidth="1"/>
    <col min="6354" max="6354" width="10.85546875" style="1" customWidth="1"/>
    <col min="6355" max="6355" width="54.5703125" style="1" customWidth="1"/>
    <col min="6356" max="6357" width="22.85546875" style="1" customWidth="1"/>
    <col min="6358" max="6358" width="9.85546875" style="1" customWidth="1"/>
    <col min="6359" max="6359" width="13" style="1" customWidth="1"/>
    <col min="6360" max="6360" width="1" style="1" customWidth="1"/>
    <col min="6361" max="6605" width="9.140625" style="1"/>
    <col min="6606" max="6606" width="2.140625" style="1" customWidth="1"/>
    <col min="6607" max="6607" width="8.7109375" style="1" customWidth="1"/>
    <col min="6608" max="6608" width="9.85546875" style="1" customWidth="1"/>
    <col min="6609" max="6609" width="1" style="1" customWidth="1"/>
    <col min="6610" max="6610" width="10.85546875" style="1" customWidth="1"/>
    <col min="6611" max="6611" width="54.5703125" style="1" customWidth="1"/>
    <col min="6612" max="6613" width="22.85546875" style="1" customWidth="1"/>
    <col min="6614" max="6614" width="9.85546875" style="1" customWidth="1"/>
    <col min="6615" max="6615" width="13" style="1" customWidth="1"/>
    <col min="6616" max="6616" width="1" style="1" customWidth="1"/>
    <col min="6617" max="6861" width="9.140625" style="1"/>
    <col min="6862" max="6862" width="2.140625" style="1" customWidth="1"/>
    <col min="6863" max="6863" width="8.7109375" style="1" customWidth="1"/>
    <col min="6864" max="6864" width="9.85546875" style="1" customWidth="1"/>
    <col min="6865" max="6865" width="1" style="1" customWidth="1"/>
    <col min="6866" max="6866" width="10.85546875" style="1" customWidth="1"/>
    <col min="6867" max="6867" width="54.5703125" style="1" customWidth="1"/>
    <col min="6868" max="6869" width="22.85546875" style="1" customWidth="1"/>
    <col min="6870" max="6870" width="9.85546875" style="1" customWidth="1"/>
    <col min="6871" max="6871" width="13" style="1" customWidth="1"/>
    <col min="6872" max="6872" width="1" style="1" customWidth="1"/>
    <col min="6873" max="7117" width="9.140625" style="1"/>
    <col min="7118" max="7118" width="2.140625" style="1" customWidth="1"/>
    <col min="7119" max="7119" width="8.7109375" style="1" customWidth="1"/>
    <col min="7120" max="7120" width="9.85546875" style="1" customWidth="1"/>
    <col min="7121" max="7121" width="1" style="1" customWidth="1"/>
    <col min="7122" max="7122" width="10.85546875" style="1" customWidth="1"/>
    <col min="7123" max="7123" width="54.5703125" style="1" customWidth="1"/>
    <col min="7124" max="7125" width="22.85546875" style="1" customWidth="1"/>
    <col min="7126" max="7126" width="9.85546875" style="1" customWidth="1"/>
    <col min="7127" max="7127" width="13" style="1" customWidth="1"/>
    <col min="7128" max="7128" width="1" style="1" customWidth="1"/>
    <col min="7129" max="7373" width="9.140625" style="1"/>
    <col min="7374" max="7374" width="2.140625" style="1" customWidth="1"/>
    <col min="7375" max="7375" width="8.7109375" style="1" customWidth="1"/>
    <col min="7376" max="7376" width="9.85546875" style="1" customWidth="1"/>
    <col min="7377" max="7377" width="1" style="1" customWidth="1"/>
    <col min="7378" max="7378" width="10.85546875" style="1" customWidth="1"/>
    <col min="7379" max="7379" width="54.5703125" style="1" customWidth="1"/>
    <col min="7380" max="7381" width="22.85546875" style="1" customWidth="1"/>
    <col min="7382" max="7382" width="9.85546875" style="1" customWidth="1"/>
    <col min="7383" max="7383" width="13" style="1" customWidth="1"/>
    <col min="7384" max="7384" width="1" style="1" customWidth="1"/>
    <col min="7385" max="7629" width="9.140625" style="1"/>
    <col min="7630" max="7630" width="2.140625" style="1" customWidth="1"/>
    <col min="7631" max="7631" width="8.7109375" style="1" customWidth="1"/>
    <col min="7632" max="7632" width="9.85546875" style="1" customWidth="1"/>
    <col min="7633" max="7633" width="1" style="1" customWidth="1"/>
    <col min="7634" max="7634" width="10.85546875" style="1" customWidth="1"/>
    <col min="7635" max="7635" width="54.5703125" style="1" customWidth="1"/>
    <col min="7636" max="7637" width="22.85546875" style="1" customWidth="1"/>
    <col min="7638" max="7638" width="9.85546875" style="1" customWidth="1"/>
    <col min="7639" max="7639" width="13" style="1" customWidth="1"/>
    <col min="7640" max="7640" width="1" style="1" customWidth="1"/>
    <col min="7641" max="7885" width="9.140625" style="1"/>
    <col min="7886" max="7886" width="2.140625" style="1" customWidth="1"/>
    <col min="7887" max="7887" width="8.7109375" style="1" customWidth="1"/>
    <col min="7888" max="7888" width="9.85546875" style="1" customWidth="1"/>
    <col min="7889" max="7889" width="1" style="1" customWidth="1"/>
    <col min="7890" max="7890" width="10.85546875" style="1" customWidth="1"/>
    <col min="7891" max="7891" width="54.5703125" style="1" customWidth="1"/>
    <col min="7892" max="7893" width="22.85546875" style="1" customWidth="1"/>
    <col min="7894" max="7894" width="9.85546875" style="1" customWidth="1"/>
    <col min="7895" max="7895" width="13" style="1" customWidth="1"/>
    <col min="7896" max="7896" width="1" style="1" customWidth="1"/>
    <col min="7897" max="8141" width="9.140625" style="1"/>
    <col min="8142" max="8142" width="2.140625" style="1" customWidth="1"/>
    <col min="8143" max="8143" width="8.7109375" style="1" customWidth="1"/>
    <col min="8144" max="8144" width="9.85546875" style="1" customWidth="1"/>
    <col min="8145" max="8145" width="1" style="1" customWidth="1"/>
    <col min="8146" max="8146" width="10.85546875" style="1" customWidth="1"/>
    <col min="8147" max="8147" width="54.5703125" style="1" customWidth="1"/>
    <col min="8148" max="8149" width="22.85546875" style="1" customWidth="1"/>
    <col min="8150" max="8150" width="9.85546875" style="1" customWidth="1"/>
    <col min="8151" max="8151" width="13" style="1" customWidth="1"/>
    <col min="8152" max="8152" width="1" style="1" customWidth="1"/>
    <col min="8153" max="8397" width="9.140625" style="1"/>
    <col min="8398" max="8398" width="2.140625" style="1" customWidth="1"/>
    <col min="8399" max="8399" width="8.7109375" style="1" customWidth="1"/>
    <col min="8400" max="8400" width="9.85546875" style="1" customWidth="1"/>
    <col min="8401" max="8401" width="1" style="1" customWidth="1"/>
    <col min="8402" max="8402" width="10.85546875" style="1" customWidth="1"/>
    <col min="8403" max="8403" width="54.5703125" style="1" customWidth="1"/>
    <col min="8404" max="8405" width="22.85546875" style="1" customWidth="1"/>
    <col min="8406" max="8406" width="9.85546875" style="1" customWidth="1"/>
    <col min="8407" max="8407" width="13" style="1" customWidth="1"/>
    <col min="8408" max="8408" width="1" style="1" customWidth="1"/>
    <col min="8409" max="8653" width="9.140625" style="1"/>
    <col min="8654" max="8654" width="2.140625" style="1" customWidth="1"/>
    <col min="8655" max="8655" width="8.7109375" style="1" customWidth="1"/>
    <col min="8656" max="8656" width="9.85546875" style="1" customWidth="1"/>
    <col min="8657" max="8657" width="1" style="1" customWidth="1"/>
    <col min="8658" max="8658" width="10.85546875" style="1" customWidth="1"/>
    <col min="8659" max="8659" width="54.5703125" style="1" customWidth="1"/>
    <col min="8660" max="8661" width="22.85546875" style="1" customWidth="1"/>
    <col min="8662" max="8662" width="9.85546875" style="1" customWidth="1"/>
    <col min="8663" max="8663" width="13" style="1" customWidth="1"/>
    <col min="8664" max="8664" width="1" style="1" customWidth="1"/>
    <col min="8665" max="8909" width="9.140625" style="1"/>
    <col min="8910" max="8910" width="2.140625" style="1" customWidth="1"/>
    <col min="8911" max="8911" width="8.7109375" style="1" customWidth="1"/>
    <col min="8912" max="8912" width="9.85546875" style="1" customWidth="1"/>
    <col min="8913" max="8913" width="1" style="1" customWidth="1"/>
    <col min="8914" max="8914" width="10.85546875" style="1" customWidth="1"/>
    <col min="8915" max="8915" width="54.5703125" style="1" customWidth="1"/>
    <col min="8916" max="8917" width="22.85546875" style="1" customWidth="1"/>
    <col min="8918" max="8918" width="9.85546875" style="1" customWidth="1"/>
    <col min="8919" max="8919" width="13" style="1" customWidth="1"/>
    <col min="8920" max="8920" width="1" style="1" customWidth="1"/>
    <col min="8921" max="9165" width="9.140625" style="1"/>
    <col min="9166" max="9166" width="2.140625" style="1" customWidth="1"/>
    <col min="9167" max="9167" width="8.7109375" style="1" customWidth="1"/>
    <col min="9168" max="9168" width="9.85546875" style="1" customWidth="1"/>
    <col min="9169" max="9169" width="1" style="1" customWidth="1"/>
    <col min="9170" max="9170" width="10.85546875" style="1" customWidth="1"/>
    <col min="9171" max="9171" width="54.5703125" style="1" customWidth="1"/>
    <col min="9172" max="9173" width="22.85546875" style="1" customWidth="1"/>
    <col min="9174" max="9174" width="9.85546875" style="1" customWidth="1"/>
    <col min="9175" max="9175" width="13" style="1" customWidth="1"/>
    <col min="9176" max="9176" width="1" style="1" customWidth="1"/>
    <col min="9177" max="9421" width="9.140625" style="1"/>
    <col min="9422" max="9422" width="2.140625" style="1" customWidth="1"/>
    <col min="9423" max="9423" width="8.7109375" style="1" customWidth="1"/>
    <col min="9424" max="9424" width="9.85546875" style="1" customWidth="1"/>
    <col min="9425" max="9425" width="1" style="1" customWidth="1"/>
    <col min="9426" max="9426" width="10.85546875" style="1" customWidth="1"/>
    <col min="9427" max="9427" width="54.5703125" style="1" customWidth="1"/>
    <col min="9428" max="9429" width="22.85546875" style="1" customWidth="1"/>
    <col min="9430" max="9430" width="9.85546875" style="1" customWidth="1"/>
    <col min="9431" max="9431" width="13" style="1" customWidth="1"/>
    <col min="9432" max="9432" width="1" style="1" customWidth="1"/>
    <col min="9433" max="9677" width="9.140625" style="1"/>
    <col min="9678" max="9678" width="2.140625" style="1" customWidth="1"/>
    <col min="9679" max="9679" width="8.7109375" style="1" customWidth="1"/>
    <col min="9680" max="9680" width="9.85546875" style="1" customWidth="1"/>
    <col min="9681" max="9681" width="1" style="1" customWidth="1"/>
    <col min="9682" max="9682" width="10.85546875" style="1" customWidth="1"/>
    <col min="9683" max="9683" width="54.5703125" style="1" customWidth="1"/>
    <col min="9684" max="9685" width="22.85546875" style="1" customWidth="1"/>
    <col min="9686" max="9686" width="9.85546875" style="1" customWidth="1"/>
    <col min="9687" max="9687" width="13" style="1" customWidth="1"/>
    <col min="9688" max="9688" width="1" style="1" customWidth="1"/>
    <col min="9689" max="9933" width="9.140625" style="1"/>
    <col min="9934" max="9934" width="2.140625" style="1" customWidth="1"/>
    <col min="9935" max="9935" width="8.7109375" style="1" customWidth="1"/>
    <col min="9936" max="9936" width="9.85546875" style="1" customWidth="1"/>
    <col min="9937" max="9937" width="1" style="1" customWidth="1"/>
    <col min="9938" max="9938" width="10.85546875" style="1" customWidth="1"/>
    <col min="9939" max="9939" width="54.5703125" style="1" customWidth="1"/>
    <col min="9940" max="9941" width="22.85546875" style="1" customWidth="1"/>
    <col min="9942" max="9942" width="9.85546875" style="1" customWidth="1"/>
    <col min="9943" max="9943" width="13" style="1" customWidth="1"/>
    <col min="9944" max="9944" width="1" style="1" customWidth="1"/>
    <col min="9945" max="10189" width="9.140625" style="1"/>
    <col min="10190" max="10190" width="2.140625" style="1" customWidth="1"/>
    <col min="10191" max="10191" width="8.7109375" style="1" customWidth="1"/>
    <col min="10192" max="10192" width="9.85546875" style="1" customWidth="1"/>
    <col min="10193" max="10193" width="1" style="1" customWidth="1"/>
    <col min="10194" max="10194" width="10.85546875" style="1" customWidth="1"/>
    <col min="10195" max="10195" width="54.5703125" style="1" customWidth="1"/>
    <col min="10196" max="10197" width="22.85546875" style="1" customWidth="1"/>
    <col min="10198" max="10198" width="9.85546875" style="1" customWidth="1"/>
    <col min="10199" max="10199" width="13" style="1" customWidth="1"/>
    <col min="10200" max="10200" width="1" style="1" customWidth="1"/>
    <col min="10201" max="10445" width="9.140625" style="1"/>
    <col min="10446" max="10446" width="2.140625" style="1" customWidth="1"/>
    <col min="10447" max="10447" width="8.7109375" style="1" customWidth="1"/>
    <col min="10448" max="10448" width="9.85546875" style="1" customWidth="1"/>
    <col min="10449" max="10449" width="1" style="1" customWidth="1"/>
    <col min="10450" max="10450" width="10.85546875" style="1" customWidth="1"/>
    <col min="10451" max="10451" width="54.5703125" style="1" customWidth="1"/>
    <col min="10452" max="10453" width="22.85546875" style="1" customWidth="1"/>
    <col min="10454" max="10454" width="9.85546875" style="1" customWidth="1"/>
    <col min="10455" max="10455" width="13" style="1" customWidth="1"/>
    <col min="10456" max="10456" width="1" style="1" customWidth="1"/>
    <col min="10457" max="10701" width="9.140625" style="1"/>
    <col min="10702" max="10702" width="2.140625" style="1" customWidth="1"/>
    <col min="10703" max="10703" width="8.7109375" style="1" customWidth="1"/>
    <col min="10704" max="10704" width="9.85546875" style="1" customWidth="1"/>
    <col min="10705" max="10705" width="1" style="1" customWidth="1"/>
    <col min="10706" max="10706" width="10.85546875" style="1" customWidth="1"/>
    <col min="10707" max="10707" width="54.5703125" style="1" customWidth="1"/>
    <col min="10708" max="10709" width="22.85546875" style="1" customWidth="1"/>
    <col min="10710" max="10710" width="9.85546875" style="1" customWidth="1"/>
    <col min="10711" max="10711" width="13" style="1" customWidth="1"/>
    <col min="10712" max="10712" width="1" style="1" customWidth="1"/>
    <col min="10713" max="10957" width="9.140625" style="1"/>
    <col min="10958" max="10958" width="2.140625" style="1" customWidth="1"/>
    <col min="10959" max="10959" width="8.7109375" style="1" customWidth="1"/>
    <col min="10960" max="10960" width="9.85546875" style="1" customWidth="1"/>
    <col min="10961" max="10961" width="1" style="1" customWidth="1"/>
    <col min="10962" max="10962" width="10.85546875" style="1" customWidth="1"/>
    <col min="10963" max="10963" width="54.5703125" style="1" customWidth="1"/>
    <col min="10964" max="10965" width="22.85546875" style="1" customWidth="1"/>
    <col min="10966" max="10966" width="9.85546875" style="1" customWidth="1"/>
    <col min="10967" max="10967" width="13" style="1" customWidth="1"/>
    <col min="10968" max="10968" width="1" style="1" customWidth="1"/>
    <col min="10969" max="11213" width="9.140625" style="1"/>
    <col min="11214" max="11214" width="2.140625" style="1" customWidth="1"/>
    <col min="11215" max="11215" width="8.7109375" style="1" customWidth="1"/>
    <col min="11216" max="11216" width="9.85546875" style="1" customWidth="1"/>
    <col min="11217" max="11217" width="1" style="1" customWidth="1"/>
    <col min="11218" max="11218" width="10.85546875" style="1" customWidth="1"/>
    <col min="11219" max="11219" width="54.5703125" style="1" customWidth="1"/>
    <col min="11220" max="11221" width="22.85546875" style="1" customWidth="1"/>
    <col min="11222" max="11222" width="9.85546875" style="1" customWidth="1"/>
    <col min="11223" max="11223" width="13" style="1" customWidth="1"/>
    <col min="11224" max="11224" width="1" style="1" customWidth="1"/>
    <col min="11225" max="11469" width="9.140625" style="1"/>
    <col min="11470" max="11470" width="2.140625" style="1" customWidth="1"/>
    <col min="11471" max="11471" width="8.7109375" style="1" customWidth="1"/>
    <col min="11472" max="11472" width="9.85546875" style="1" customWidth="1"/>
    <col min="11473" max="11473" width="1" style="1" customWidth="1"/>
    <col min="11474" max="11474" width="10.85546875" style="1" customWidth="1"/>
    <col min="11475" max="11475" width="54.5703125" style="1" customWidth="1"/>
    <col min="11476" max="11477" width="22.85546875" style="1" customWidth="1"/>
    <col min="11478" max="11478" width="9.85546875" style="1" customWidth="1"/>
    <col min="11479" max="11479" width="13" style="1" customWidth="1"/>
    <col min="11480" max="11480" width="1" style="1" customWidth="1"/>
    <col min="11481" max="11725" width="9.140625" style="1"/>
    <col min="11726" max="11726" width="2.140625" style="1" customWidth="1"/>
    <col min="11727" max="11727" width="8.7109375" style="1" customWidth="1"/>
    <col min="11728" max="11728" width="9.85546875" style="1" customWidth="1"/>
    <col min="11729" max="11729" width="1" style="1" customWidth="1"/>
    <col min="11730" max="11730" width="10.85546875" style="1" customWidth="1"/>
    <col min="11731" max="11731" width="54.5703125" style="1" customWidth="1"/>
    <col min="11732" max="11733" width="22.85546875" style="1" customWidth="1"/>
    <col min="11734" max="11734" width="9.85546875" style="1" customWidth="1"/>
    <col min="11735" max="11735" width="13" style="1" customWidth="1"/>
    <col min="11736" max="11736" width="1" style="1" customWidth="1"/>
    <col min="11737" max="11981" width="9.140625" style="1"/>
    <col min="11982" max="11982" width="2.140625" style="1" customWidth="1"/>
    <col min="11983" max="11983" width="8.7109375" style="1" customWidth="1"/>
    <col min="11984" max="11984" width="9.85546875" style="1" customWidth="1"/>
    <col min="11985" max="11985" width="1" style="1" customWidth="1"/>
    <col min="11986" max="11986" width="10.85546875" style="1" customWidth="1"/>
    <col min="11987" max="11987" width="54.5703125" style="1" customWidth="1"/>
    <col min="11988" max="11989" width="22.85546875" style="1" customWidth="1"/>
    <col min="11990" max="11990" width="9.85546875" style="1" customWidth="1"/>
    <col min="11991" max="11991" width="13" style="1" customWidth="1"/>
    <col min="11992" max="11992" width="1" style="1" customWidth="1"/>
    <col min="11993" max="12237" width="9.140625" style="1"/>
    <col min="12238" max="12238" width="2.140625" style="1" customWidth="1"/>
    <col min="12239" max="12239" width="8.7109375" style="1" customWidth="1"/>
    <col min="12240" max="12240" width="9.85546875" style="1" customWidth="1"/>
    <col min="12241" max="12241" width="1" style="1" customWidth="1"/>
    <col min="12242" max="12242" width="10.85546875" style="1" customWidth="1"/>
    <col min="12243" max="12243" width="54.5703125" style="1" customWidth="1"/>
    <col min="12244" max="12245" width="22.85546875" style="1" customWidth="1"/>
    <col min="12246" max="12246" width="9.85546875" style="1" customWidth="1"/>
    <col min="12247" max="12247" width="13" style="1" customWidth="1"/>
    <col min="12248" max="12248" width="1" style="1" customWidth="1"/>
    <col min="12249" max="12493" width="9.140625" style="1"/>
    <col min="12494" max="12494" width="2.140625" style="1" customWidth="1"/>
    <col min="12495" max="12495" width="8.7109375" style="1" customWidth="1"/>
    <col min="12496" max="12496" width="9.85546875" style="1" customWidth="1"/>
    <col min="12497" max="12497" width="1" style="1" customWidth="1"/>
    <col min="12498" max="12498" width="10.85546875" style="1" customWidth="1"/>
    <col min="12499" max="12499" width="54.5703125" style="1" customWidth="1"/>
    <col min="12500" max="12501" width="22.85546875" style="1" customWidth="1"/>
    <col min="12502" max="12502" width="9.85546875" style="1" customWidth="1"/>
    <col min="12503" max="12503" width="13" style="1" customWidth="1"/>
    <col min="12504" max="12504" width="1" style="1" customWidth="1"/>
    <col min="12505" max="12749" width="9.140625" style="1"/>
    <col min="12750" max="12750" width="2.140625" style="1" customWidth="1"/>
    <col min="12751" max="12751" width="8.7109375" style="1" customWidth="1"/>
    <col min="12752" max="12752" width="9.85546875" style="1" customWidth="1"/>
    <col min="12753" max="12753" width="1" style="1" customWidth="1"/>
    <col min="12754" max="12754" width="10.85546875" style="1" customWidth="1"/>
    <col min="12755" max="12755" width="54.5703125" style="1" customWidth="1"/>
    <col min="12756" max="12757" width="22.85546875" style="1" customWidth="1"/>
    <col min="12758" max="12758" width="9.85546875" style="1" customWidth="1"/>
    <col min="12759" max="12759" width="13" style="1" customWidth="1"/>
    <col min="12760" max="12760" width="1" style="1" customWidth="1"/>
    <col min="12761" max="13005" width="9.140625" style="1"/>
    <col min="13006" max="13006" width="2.140625" style="1" customWidth="1"/>
    <col min="13007" max="13007" width="8.7109375" style="1" customWidth="1"/>
    <col min="13008" max="13008" width="9.85546875" style="1" customWidth="1"/>
    <col min="13009" max="13009" width="1" style="1" customWidth="1"/>
    <col min="13010" max="13010" width="10.85546875" style="1" customWidth="1"/>
    <col min="13011" max="13011" width="54.5703125" style="1" customWidth="1"/>
    <col min="13012" max="13013" width="22.85546875" style="1" customWidth="1"/>
    <col min="13014" max="13014" width="9.85546875" style="1" customWidth="1"/>
    <col min="13015" max="13015" width="13" style="1" customWidth="1"/>
    <col min="13016" max="13016" width="1" style="1" customWidth="1"/>
    <col min="13017" max="13261" width="9.140625" style="1"/>
    <col min="13262" max="13262" width="2.140625" style="1" customWidth="1"/>
    <col min="13263" max="13263" width="8.7109375" style="1" customWidth="1"/>
    <col min="13264" max="13264" width="9.85546875" style="1" customWidth="1"/>
    <col min="13265" max="13265" width="1" style="1" customWidth="1"/>
    <col min="13266" max="13266" width="10.85546875" style="1" customWidth="1"/>
    <col min="13267" max="13267" width="54.5703125" style="1" customWidth="1"/>
    <col min="13268" max="13269" width="22.85546875" style="1" customWidth="1"/>
    <col min="13270" max="13270" width="9.85546875" style="1" customWidth="1"/>
    <col min="13271" max="13271" width="13" style="1" customWidth="1"/>
    <col min="13272" max="13272" width="1" style="1" customWidth="1"/>
    <col min="13273" max="13517" width="9.140625" style="1"/>
    <col min="13518" max="13518" width="2.140625" style="1" customWidth="1"/>
    <col min="13519" max="13519" width="8.7109375" style="1" customWidth="1"/>
    <col min="13520" max="13520" width="9.85546875" style="1" customWidth="1"/>
    <col min="13521" max="13521" width="1" style="1" customWidth="1"/>
    <col min="13522" max="13522" width="10.85546875" style="1" customWidth="1"/>
    <col min="13523" max="13523" width="54.5703125" style="1" customWidth="1"/>
    <col min="13524" max="13525" width="22.85546875" style="1" customWidth="1"/>
    <col min="13526" max="13526" width="9.85546875" style="1" customWidth="1"/>
    <col min="13527" max="13527" width="13" style="1" customWidth="1"/>
    <col min="13528" max="13528" width="1" style="1" customWidth="1"/>
    <col min="13529" max="13773" width="9.140625" style="1"/>
    <col min="13774" max="13774" width="2.140625" style="1" customWidth="1"/>
    <col min="13775" max="13775" width="8.7109375" style="1" customWidth="1"/>
    <col min="13776" max="13776" width="9.85546875" style="1" customWidth="1"/>
    <col min="13777" max="13777" width="1" style="1" customWidth="1"/>
    <col min="13778" max="13778" width="10.85546875" style="1" customWidth="1"/>
    <col min="13779" max="13779" width="54.5703125" style="1" customWidth="1"/>
    <col min="13780" max="13781" width="22.85546875" style="1" customWidth="1"/>
    <col min="13782" max="13782" width="9.85546875" style="1" customWidth="1"/>
    <col min="13783" max="13783" width="13" style="1" customWidth="1"/>
    <col min="13784" max="13784" width="1" style="1" customWidth="1"/>
    <col min="13785" max="14029" width="9.140625" style="1"/>
    <col min="14030" max="14030" width="2.140625" style="1" customWidth="1"/>
    <col min="14031" max="14031" width="8.7109375" style="1" customWidth="1"/>
    <col min="14032" max="14032" width="9.85546875" style="1" customWidth="1"/>
    <col min="14033" max="14033" width="1" style="1" customWidth="1"/>
    <col min="14034" max="14034" width="10.85546875" style="1" customWidth="1"/>
    <col min="14035" max="14035" width="54.5703125" style="1" customWidth="1"/>
    <col min="14036" max="14037" width="22.85546875" style="1" customWidth="1"/>
    <col min="14038" max="14038" width="9.85546875" style="1" customWidth="1"/>
    <col min="14039" max="14039" width="13" style="1" customWidth="1"/>
    <col min="14040" max="14040" width="1" style="1" customWidth="1"/>
    <col min="14041" max="14285" width="9.140625" style="1"/>
    <col min="14286" max="14286" width="2.140625" style="1" customWidth="1"/>
    <col min="14287" max="14287" width="8.7109375" style="1" customWidth="1"/>
    <col min="14288" max="14288" width="9.85546875" style="1" customWidth="1"/>
    <col min="14289" max="14289" width="1" style="1" customWidth="1"/>
    <col min="14290" max="14290" width="10.85546875" style="1" customWidth="1"/>
    <col min="14291" max="14291" width="54.5703125" style="1" customWidth="1"/>
    <col min="14292" max="14293" width="22.85546875" style="1" customWidth="1"/>
    <col min="14294" max="14294" width="9.85546875" style="1" customWidth="1"/>
    <col min="14295" max="14295" width="13" style="1" customWidth="1"/>
    <col min="14296" max="14296" width="1" style="1" customWidth="1"/>
    <col min="14297" max="14541" width="9.140625" style="1"/>
    <col min="14542" max="14542" width="2.140625" style="1" customWidth="1"/>
    <col min="14543" max="14543" width="8.7109375" style="1" customWidth="1"/>
    <col min="14544" max="14544" width="9.85546875" style="1" customWidth="1"/>
    <col min="14545" max="14545" width="1" style="1" customWidth="1"/>
    <col min="14546" max="14546" width="10.85546875" style="1" customWidth="1"/>
    <col min="14547" max="14547" width="54.5703125" style="1" customWidth="1"/>
    <col min="14548" max="14549" width="22.85546875" style="1" customWidth="1"/>
    <col min="14550" max="14550" width="9.85546875" style="1" customWidth="1"/>
    <col min="14551" max="14551" width="13" style="1" customWidth="1"/>
    <col min="14552" max="14552" width="1" style="1" customWidth="1"/>
    <col min="14553" max="14797" width="9.140625" style="1"/>
    <col min="14798" max="14798" width="2.140625" style="1" customWidth="1"/>
    <col min="14799" max="14799" width="8.7109375" style="1" customWidth="1"/>
    <col min="14800" max="14800" width="9.85546875" style="1" customWidth="1"/>
    <col min="14801" max="14801" width="1" style="1" customWidth="1"/>
    <col min="14802" max="14802" width="10.85546875" style="1" customWidth="1"/>
    <col min="14803" max="14803" width="54.5703125" style="1" customWidth="1"/>
    <col min="14804" max="14805" width="22.85546875" style="1" customWidth="1"/>
    <col min="14806" max="14806" width="9.85546875" style="1" customWidth="1"/>
    <col min="14807" max="14807" width="13" style="1" customWidth="1"/>
    <col min="14808" max="14808" width="1" style="1" customWidth="1"/>
    <col min="14809" max="15053" width="9.140625" style="1"/>
    <col min="15054" max="15054" width="2.140625" style="1" customWidth="1"/>
    <col min="15055" max="15055" width="8.7109375" style="1" customWidth="1"/>
    <col min="15056" max="15056" width="9.85546875" style="1" customWidth="1"/>
    <col min="15057" max="15057" width="1" style="1" customWidth="1"/>
    <col min="15058" max="15058" width="10.85546875" style="1" customWidth="1"/>
    <col min="15059" max="15059" width="54.5703125" style="1" customWidth="1"/>
    <col min="15060" max="15061" width="22.85546875" style="1" customWidth="1"/>
    <col min="15062" max="15062" width="9.85546875" style="1" customWidth="1"/>
    <col min="15063" max="15063" width="13" style="1" customWidth="1"/>
    <col min="15064" max="15064" width="1" style="1" customWidth="1"/>
    <col min="15065" max="15309" width="9.140625" style="1"/>
    <col min="15310" max="15310" width="2.140625" style="1" customWidth="1"/>
    <col min="15311" max="15311" width="8.7109375" style="1" customWidth="1"/>
    <col min="15312" max="15312" width="9.85546875" style="1" customWidth="1"/>
    <col min="15313" max="15313" width="1" style="1" customWidth="1"/>
    <col min="15314" max="15314" width="10.85546875" style="1" customWidth="1"/>
    <col min="15315" max="15315" width="54.5703125" style="1" customWidth="1"/>
    <col min="15316" max="15317" width="22.85546875" style="1" customWidth="1"/>
    <col min="15318" max="15318" width="9.85546875" style="1" customWidth="1"/>
    <col min="15319" max="15319" width="13" style="1" customWidth="1"/>
    <col min="15320" max="15320" width="1" style="1" customWidth="1"/>
    <col min="15321" max="15565" width="9.140625" style="1"/>
    <col min="15566" max="15566" width="2.140625" style="1" customWidth="1"/>
    <col min="15567" max="15567" width="8.7109375" style="1" customWidth="1"/>
    <col min="15568" max="15568" width="9.85546875" style="1" customWidth="1"/>
    <col min="15569" max="15569" width="1" style="1" customWidth="1"/>
    <col min="15570" max="15570" width="10.85546875" style="1" customWidth="1"/>
    <col min="15571" max="15571" width="54.5703125" style="1" customWidth="1"/>
    <col min="15572" max="15573" width="22.85546875" style="1" customWidth="1"/>
    <col min="15574" max="15574" width="9.85546875" style="1" customWidth="1"/>
    <col min="15575" max="15575" width="13" style="1" customWidth="1"/>
    <col min="15576" max="15576" width="1" style="1" customWidth="1"/>
    <col min="15577" max="15821" width="9.140625" style="1"/>
    <col min="15822" max="15822" width="2.140625" style="1" customWidth="1"/>
    <col min="15823" max="15823" width="8.7109375" style="1" customWidth="1"/>
    <col min="15824" max="15824" width="9.85546875" style="1" customWidth="1"/>
    <col min="15825" max="15825" width="1" style="1" customWidth="1"/>
    <col min="15826" max="15826" width="10.85546875" style="1" customWidth="1"/>
    <col min="15827" max="15827" width="54.5703125" style="1" customWidth="1"/>
    <col min="15828" max="15829" width="22.85546875" style="1" customWidth="1"/>
    <col min="15830" max="15830" width="9.85546875" style="1" customWidth="1"/>
    <col min="15831" max="15831" width="13" style="1" customWidth="1"/>
    <col min="15832" max="15832" width="1" style="1" customWidth="1"/>
    <col min="15833" max="16384" width="9.140625" style="1"/>
  </cols>
  <sheetData>
    <row r="1" spans="1:29" ht="27.75" customHeight="1" x14ac:dyDescent="0.2">
      <c r="A1" s="974"/>
      <c r="B1" s="974"/>
      <c r="C1" s="974"/>
      <c r="D1" s="974"/>
      <c r="E1" s="974"/>
      <c r="H1" s="975" t="s">
        <v>0</v>
      </c>
      <c r="I1" s="975"/>
      <c r="J1" s="975"/>
    </row>
    <row r="2" spans="1:29" s="2" customFormat="1" ht="12.75" customHeight="1" x14ac:dyDescent="0.25">
      <c r="A2" s="976"/>
      <c r="B2" s="976"/>
      <c r="C2" s="976"/>
      <c r="D2" s="976"/>
      <c r="E2" s="976"/>
      <c r="F2" s="976"/>
      <c r="G2" s="976"/>
      <c r="H2" s="976"/>
      <c r="I2" s="976"/>
      <c r="J2" s="976"/>
    </row>
    <row r="3" spans="1:29" ht="42.75" customHeight="1" x14ac:dyDescent="0.2">
      <c r="A3" s="977" t="s">
        <v>1031</v>
      </c>
      <c r="B3" s="977"/>
      <c r="C3" s="977"/>
      <c r="D3" s="977"/>
      <c r="E3" s="977"/>
      <c r="F3" s="977"/>
      <c r="G3" s="977"/>
      <c r="H3" s="977"/>
      <c r="I3" s="977"/>
      <c r="J3" s="977"/>
    </row>
    <row r="4" spans="1:29" ht="92.25" customHeight="1" x14ac:dyDescent="0.2">
      <c r="A4" s="884" t="s">
        <v>1</v>
      </c>
      <c r="B4" s="3" t="s">
        <v>2</v>
      </c>
      <c r="C4" s="3" t="s">
        <v>3</v>
      </c>
      <c r="D4" s="3" t="s">
        <v>4</v>
      </c>
      <c r="E4" s="4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8" t="s">
        <v>10</v>
      </c>
      <c r="K4" s="9" t="s">
        <v>11</v>
      </c>
      <c r="L4" s="10" t="s">
        <v>12</v>
      </c>
      <c r="M4" s="11" t="s">
        <v>13</v>
      </c>
      <c r="N4" s="11" t="s">
        <v>14</v>
      </c>
      <c r="O4" s="11" t="s">
        <v>15</v>
      </c>
      <c r="P4" s="11" t="s">
        <v>16</v>
      </c>
      <c r="Q4" s="11" t="s">
        <v>17</v>
      </c>
      <c r="R4" s="12" t="s">
        <v>18</v>
      </c>
      <c r="S4" s="12" t="s">
        <v>19</v>
      </c>
      <c r="T4" s="11" t="s">
        <v>20</v>
      </c>
      <c r="U4" s="11" t="s">
        <v>21</v>
      </c>
      <c r="V4" s="11" t="s">
        <v>22</v>
      </c>
      <c r="W4" s="11" t="s">
        <v>23</v>
      </c>
      <c r="X4" s="11" t="s">
        <v>24</v>
      </c>
      <c r="Y4" s="11" t="s">
        <v>25</v>
      </c>
      <c r="Z4" s="11" t="s">
        <v>26</v>
      </c>
      <c r="AA4" s="11" t="s">
        <v>27</v>
      </c>
      <c r="AB4" s="11" t="s">
        <v>28</v>
      </c>
      <c r="AC4" s="11" t="s">
        <v>29</v>
      </c>
    </row>
    <row r="5" spans="1:29" x14ac:dyDescent="0.2">
      <c r="A5" s="885" t="s">
        <v>30</v>
      </c>
      <c r="B5" s="13"/>
      <c r="C5" s="13"/>
      <c r="D5" s="14" t="s">
        <v>31</v>
      </c>
      <c r="E5" s="15">
        <f>E6+E9</f>
        <v>683472.95</v>
      </c>
      <c r="F5" s="15">
        <f t="shared" ref="F5:AC5" si="0">F6+F9</f>
        <v>672029.10999999987</v>
      </c>
      <c r="G5" s="16">
        <f>F5/E5</f>
        <v>0.98325633808916635</v>
      </c>
      <c r="H5" s="15">
        <f t="shared" si="0"/>
        <v>682116.60999999987</v>
      </c>
      <c r="I5" s="17">
        <f t="shared" si="0"/>
        <v>50000</v>
      </c>
      <c r="J5" s="886">
        <f>I5/E5</f>
        <v>7.3155784731495227E-2</v>
      </c>
      <c r="K5" s="84">
        <f t="shared" si="0"/>
        <v>50000</v>
      </c>
      <c r="L5" s="15">
        <f t="shared" si="0"/>
        <v>50000</v>
      </c>
      <c r="M5" s="15">
        <f t="shared" si="0"/>
        <v>0</v>
      </c>
      <c r="N5" s="15">
        <f t="shared" si="0"/>
        <v>36000</v>
      </c>
      <c r="O5" s="15">
        <f t="shared" si="0"/>
        <v>0</v>
      </c>
      <c r="P5" s="15">
        <f t="shared" si="0"/>
        <v>14000</v>
      </c>
      <c r="Q5" s="15">
        <f t="shared" si="0"/>
        <v>0</v>
      </c>
      <c r="R5" s="15">
        <f t="shared" si="0"/>
        <v>0</v>
      </c>
      <c r="S5" s="15">
        <f t="shared" si="0"/>
        <v>0</v>
      </c>
      <c r="T5" s="15">
        <f t="shared" si="0"/>
        <v>0</v>
      </c>
      <c r="U5" s="15">
        <f t="shared" si="0"/>
        <v>0</v>
      </c>
      <c r="V5" s="15">
        <f t="shared" si="0"/>
        <v>0</v>
      </c>
      <c r="W5" s="15">
        <f t="shared" si="0"/>
        <v>0</v>
      </c>
      <c r="X5" s="15">
        <f t="shared" si="0"/>
        <v>0</v>
      </c>
      <c r="Y5" s="15">
        <f t="shared" si="0"/>
        <v>0</v>
      </c>
      <c r="Z5" s="15">
        <f t="shared" si="0"/>
        <v>0</v>
      </c>
      <c r="AA5" s="15">
        <f t="shared" si="0"/>
        <v>0</v>
      </c>
      <c r="AB5" s="15">
        <f t="shared" si="0"/>
        <v>0</v>
      </c>
      <c r="AC5" s="18">
        <f t="shared" si="0"/>
        <v>0</v>
      </c>
    </row>
    <row r="6" spans="1:29" ht="15" x14ac:dyDescent="0.2">
      <c r="A6" s="887"/>
      <c r="B6" s="19" t="s">
        <v>32</v>
      </c>
      <c r="C6" s="20"/>
      <c r="D6" s="21" t="s">
        <v>33</v>
      </c>
      <c r="E6" s="22">
        <f>E7+E8</f>
        <v>20000</v>
      </c>
      <c r="F6" s="22">
        <f t="shared" ref="F6:AC6" si="1">F7+F8</f>
        <v>20000</v>
      </c>
      <c r="G6" s="23">
        <f>F6/E6</f>
        <v>1</v>
      </c>
      <c r="H6" s="22">
        <f t="shared" si="1"/>
        <v>20000</v>
      </c>
      <c r="I6" s="24">
        <f t="shared" si="1"/>
        <v>0</v>
      </c>
      <c r="J6" s="888">
        <f>I6/E6</f>
        <v>0</v>
      </c>
      <c r="K6" s="868">
        <f t="shared" si="1"/>
        <v>0</v>
      </c>
      <c r="L6" s="22">
        <f t="shared" si="1"/>
        <v>0</v>
      </c>
      <c r="M6" s="22">
        <f t="shared" si="1"/>
        <v>0</v>
      </c>
      <c r="N6" s="22">
        <f t="shared" si="1"/>
        <v>0</v>
      </c>
      <c r="O6" s="22">
        <f t="shared" si="1"/>
        <v>0</v>
      </c>
      <c r="P6" s="22">
        <f t="shared" si="1"/>
        <v>0</v>
      </c>
      <c r="Q6" s="22">
        <f t="shared" si="1"/>
        <v>0</v>
      </c>
      <c r="R6" s="22">
        <f t="shared" si="1"/>
        <v>0</v>
      </c>
      <c r="S6" s="22">
        <f t="shared" si="1"/>
        <v>0</v>
      </c>
      <c r="T6" s="22">
        <f t="shared" si="1"/>
        <v>0</v>
      </c>
      <c r="U6" s="22">
        <f t="shared" si="1"/>
        <v>0</v>
      </c>
      <c r="V6" s="22">
        <f t="shared" si="1"/>
        <v>0</v>
      </c>
      <c r="W6" s="22">
        <f t="shared" si="1"/>
        <v>0</v>
      </c>
      <c r="X6" s="22">
        <f t="shared" si="1"/>
        <v>0</v>
      </c>
      <c r="Y6" s="22">
        <f t="shared" si="1"/>
        <v>0</v>
      </c>
      <c r="Z6" s="22">
        <f t="shared" si="1"/>
        <v>0</v>
      </c>
      <c r="AA6" s="22">
        <f t="shared" si="1"/>
        <v>0</v>
      </c>
      <c r="AB6" s="22">
        <f t="shared" si="1"/>
        <v>0</v>
      </c>
      <c r="AC6" s="25">
        <f t="shared" si="1"/>
        <v>0</v>
      </c>
    </row>
    <row r="7" spans="1:29" ht="33.75" x14ac:dyDescent="0.2">
      <c r="A7" s="889"/>
      <c r="B7" s="26"/>
      <c r="C7" s="27" t="s">
        <v>34</v>
      </c>
      <c r="D7" s="28" t="s">
        <v>35</v>
      </c>
      <c r="E7" s="29" t="s">
        <v>36</v>
      </c>
      <c r="F7" s="30">
        <v>20000</v>
      </c>
      <c r="G7" s="31">
        <f t="shared" ref="G7:G93" si="2">F7/E7</f>
        <v>1</v>
      </c>
      <c r="H7" s="32">
        <v>20000</v>
      </c>
      <c r="I7" s="33">
        <v>0</v>
      </c>
      <c r="J7" s="34">
        <f>I7/E7</f>
        <v>0</v>
      </c>
      <c r="K7" s="35">
        <f>L7+R7+S7</f>
        <v>0</v>
      </c>
      <c r="L7" s="30">
        <f>SUM(M7:Q7)</f>
        <v>0</v>
      </c>
      <c r="M7" s="30"/>
      <c r="N7" s="30"/>
      <c r="O7" s="30"/>
      <c r="P7" s="30">
        <v>0</v>
      </c>
      <c r="Q7" s="30"/>
      <c r="R7" s="30"/>
      <c r="S7" s="30">
        <f>SUM(T7:AC7)</f>
        <v>0</v>
      </c>
      <c r="T7" s="30"/>
      <c r="U7" s="30"/>
      <c r="V7" s="30"/>
      <c r="W7" s="30"/>
      <c r="X7" s="30"/>
      <c r="Y7" s="30"/>
      <c r="Z7" s="30"/>
      <c r="AA7" s="30"/>
      <c r="AB7" s="30"/>
      <c r="AC7" s="30"/>
    </row>
    <row r="8" spans="1:29" ht="45" hidden="1" x14ac:dyDescent="0.2">
      <c r="A8" s="889"/>
      <c r="B8" s="26"/>
      <c r="C8" s="27" t="s">
        <v>37</v>
      </c>
      <c r="D8" s="28" t="s">
        <v>38</v>
      </c>
      <c r="E8" s="29" t="s">
        <v>39</v>
      </c>
      <c r="F8" s="30">
        <v>0</v>
      </c>
      <c r="G8" s="31">
        <v>0</v>
      </c>
      <c r="H8" s="32">
        <v>0</v>
      </c>
      <c r="I8" s="33">
        <v>0</v>
      </c>
      <c r="J8" s="34">
        <v>0</v>
      </c>
      <c r="K8" s="869">
        <f t="shared" ref="K8:K93" si="3">L8+R8+S8</f>
        <v>0</v>
      </c>
      <c r="L8" s="30">
        <f>SUM(M8:Q8)</f>
        <v>0</v>
      </c>
      <c r="M8" s="30"/>
      <c r="N8" s="30"/>
      <c r="O8" s="30"/>
      <c r="P8" s="30">
        <v>0</v>
      </c>
      <c r="Q8" s="30"/>
      <c r="R8" s="30"/>
      <c r="S8" s="30">
        <f>SUM(T8:AC8)</f>
        <v>0</v>
      </c>
      <c r="T8" s="30"/>
      <c r="U8" s="30"/>
      <c r="V8" s="30"/>
      <c r="W8" s="30"/>
      <c r="X8" s="30"/>
      <c r="Y8" s="30"/>
      <c r="Z8" s="30"/>
      <c r="AA8" s="30"/>
      <c r="AB8" s="30"/>
      <c r="AC8" s="30"/>
    </row>
    <row r="9" spans="1:29" ht="15" x14ac:dyDescent="0.2">
      <c r="A9" s="887"/>
      <c r="B9" s="19" t="s">
        <v>40</v>
      </c>
      <c r="C9" s="20"/>
      <c r="D9" s="21" t="s">
        <v>41</v>
      </c>
      <c r="E9" s="22">
        <f>E10+E12+E11</f>
        <v>663472.94999999995</v>
      </c>
      <c r="F9" s="22">
        <f>F10+F12+F11</f>
        <v>652029.10999999987</v>
      </c>
      <c r="G9" s="23">
        <f t="shared" si="2"/>
        <v>0.98275161029549118</v>
      </c>
      <c r="H9" s="22">
        <f>H10+H12+H11</f>
        <v>662116.60999999987</v>
      </c>
      <c r="I9" s="24">
        <f>I10+I12+I11</f>
        <v>50000</v>
      </c>
      <c r="J9" s="37">
        <f t="shared" ref="J9:J94" si="4">I9/E9</f>
        <v>7.5361022630990468E-2</v>
      </c>
      <c r="K9" s="870">
        <f t="shared" si="3"/>
        <v>50000</v>
      </c>
      <c r="L9" s="38">
        <f>L10+L12+L11</f>
        <v>50000</v>
      </c>
      <c r="M9" s="38">
        <f t="shared" ref="M9:AC9" si="5">M10+M12+M11</f>
        <v>0</v>
      </c>
      <c r="N9" s="38">
        <f t="shared" si="5"/>
        <v>36000</v>
      </c>
      <c r="O9" s="38">
        <f t="shared" si="5"/>
        <v>0</v>
      </c>
      <c r="P9" s="38">
        <f t="shared" si="5"/>
        <v>14000</v>
      </c>
      <c r="Q9" s="38">
        <f t="shared" si="5"/>
        <v>0</v>
      </c>
      <c r="R9" s="38">
        <f t="shared" si="5"/>
        <v>0</v>
      </c>
      <c r="S9" s="38">
        <f t="shared" si="5"/>
        <v>0</v>
      </c>
      <c r="T9" s="38">
        <f t="shared" si="5"/>
        <v>0</v>
      </c>
      <c r="U9" s="38">
        <f t="shared" si="5"/>
        <v>0</v>
      </c>
      <c r="V9" s="38">
        <f t="shared" si="5"/>
        <v>0</v>
      </c>
      <c r="W9" s="38">
        <f t="shared" si="5"/>
        <v>0</v>
      </c>
      <c r="X9" s="38">
        <f t="shared" si="5"/>
        <v>0</v>
      </c>
      <c r="Y9" s="38">
        <f t="shared" si="5"/>
        <v>0</v>
      </c>
      <c r="Z9" s="38">
        <f t="shared" si="5"/>
        <v>0</v>
      </c>
      <c r="AA9" s="38">
        <f t="shared" si="5"/>
        <v>0</v>
      </c>
      <c r="AB9" s="38">
        <f t="shared" si="5"/>
        <v>0</v>
      </c>
      <c r="AC9" s="38">
        <f t="shared" si="5"/>
        <v>0</v>
      </c>
    </row>
    <row r="10" spans="1:29" ht="45" x14ac:dyDescent="0.2">
      <c r="A10" s="889"/>
      <c r="B10" s="26"/>
      <c r="C10" s="27" t="s">
        <v>42</v>
      </c>
      <c r="D10" s="28" t="s">
        <v>43</v>
      </c>
      <c r="E10" s="29" t="s">
        <v>44</v>
      </c>
      <c r="F10" s="30">
        <v>38394.699999999997</v>
      </c>
      <c r="G10" s="31">
        <f t="shared" si="2"/>
        <v>0.76789399999999997</v>
      </c>
      <c r="H10" s="32">
        <v>48482.2</v>
      </c>
      <c r="I10" s="33">
        <v>50000</v>
      </c>
      <c r="J10" s="34">
        <f t="shared" si="4"/>
        <v>1</v>
      </c>
      <c r="K10" s="869">
        <f t="shared" si="3"/>
        <v>50000</v>
      </c>
      <c r="L10" s="30">
        <f>SUM(M10:Q10)</f>
        <v>50000</v>
      </c>
      <c r="M10" s="30"/>
      <c r="N10" s="30">
        <v>36000</v>
      </c>
      <c r="O10" s="30"/>
      <c r="P10" s="30">
        <v>14000</v>
      </c>
      <c r="Q10" s="30"/>
      <c r="R10" s="30"/>
      <c r="S10" s="30">
        <f>SUM(T10:AC10)</f>
        <v>0</v>
      </c>
      <c r="T10" s="30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889"/>
      <c r="B11" s="26"/>
      <c r="C11" s="39" t="s">
        <v>45</v>
      </c>
      <c r="D11" s="28" t="s">
        <v>46</v>
      </c>
      <c r="E11" s="29">
        <v>0</v>
      </c>
      <c r="F11" s="30">
        <v>161.46</v>
      </c>
      <c r="G11" s="31">
        <v>0</v>
      </c>
      <c r="H11" s="32">
        <v>161.46</v>
      </c>
      <c r="I11" s="33">
        <v>0</v>
      </c>
      <c r="J11" s="34">
        <v>0</v>
      </c>
      <c r="K11" s="869">
        <f>SUM(L11+S11+R11)</f>
        <v>0</v>
      </c>
      <c r="L11" s="30">
        <f>SUM(M11:Q11)</f>
        <v>0</v>
      </c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ht="45" x14ac:dyDescent="0.2">
      <c r="A12" s="889"/>
      <c r="B12" s="26"/>
      <c r="C12" s="40" t="s">
        <v>47</v>
      </c>
      <c r="D12" s="41" t="s">
        <v>48</v>
      </c>
      <c r="E12" s="42" t="s">
        <v>49</v>
      </c>
      <c r="F12" s="43">
        <v>613472.94999999995</v>
      </c>
      <c r="G12" s="44">
        <f t="shared" si="2"/>
        <v>1</v>
      </c>
      <c r="H12" s="45">
        <v>613472.94999999995</v>
      </c>
      <c r="I12" s="46">
        <v>0</v>
      </c>
      <c r="J12" s="47">
        <f t="shared" si="4"/>
        <v>0</v>
      </c>
      <c r="K12" s="35">
        <f t="shared" si="3"/>
        <v>0</v>
      </c>
      <c r="L12" s="43">
        <f>SUM(M12:Q12)</f>
        <v>0</v>
      </c>
      <c r="M12" s="43"/>
      <c r="N12" s="43"/>
      <c r="O12" s="43"/>
      <c r="P12" s="43">
        <v>0</v>
      </c>
      <c r="Q12" s="43"/>
      <c r="R12" s="43"/>
      <c r="S12" s="43">
        <f>SUM(T12:AC12)</f>
        <v>0</v>
      </c>
      <c r="T12" s="43"/>
      <c r="U12" s="43"/>
      <c r="V12" s="43"/>
      <c r="W12" s="43"/>
      <c r="X12" s="43"/>
      <c r="Y12" s="43"/>
      <c r="Z12" s="43"/>
      <c r="AA12" s="43"/>
      <c r="AB12" s="43"/>
      <c r="AC12" s="43"/>
    </row>
    <row r="13" spans="1:29" s="56" customFormat="1" x14ac:dyDescent="0.2">
      <c r="A13" s="890"/>
      <c r="B13" s="48" t="s">
        <v>50</v>
      </c>
      <c r="C13" s="49"/>
      <c r="D13" s="50" t="s">
        <v>51</v>
      </c>
      <c r="E13" s="51">
        <f>E14</f>
        <v>0</v>
      </c>
      <c r="F13" s="51">
        <f t="shared" ref="F13:AC14" si="6">F14</f>
        <v>378</v>
      </c>
      <c r="G13" s="52">
        <v>0</v>
      </c>
      <c r="H13" s="53">
        <f t="shared" si="6"/>
        <v>378</v>
      </c>
      <c r="I13" s="54">
        <f t="shared" si="6"/>
        <v>0</v>
      </c>
      <c r="J13" s="55">
        <v>0</v>
      </c>
      <c r="K13" s="871">
        <f t="shared" si="6"/>
        <v>0</v>
      </c>
      <c r="L13" s="51">
        <f t="shared" si="6"/>
        <v>0</v>
      </c>
      <c r="M13" s="51">
        <f t="shared" si="6"/>
        <v>0</v>
      </c>
      <c r="N13" s="51">
        <f t="shared" si="6"/>
        <v>0</v>
      </c>
      <c r="O13" s="51">
        <f t="shared" si="6"/>
        <v>0</v>
      </c>
      <c r="P13" s="51">
        <f t="shared" si="6"/>
        <v>0</v>
      </c>
      <c r="Q13" s="51">
        <f t="shared" si="6"/>
        <v>0</v>
      </c>
      <c r="R13" s="51">
        <f t="shared" si="6"/>
        <v>0</v>
      </c>
      <c r="S13" s="51">
        <f t="shared" si="6"/>
        <v>0</v>
      </c>
      <c r="T13" s="51">
        <f t="shared" si="6"/>
        <v>0</v>
      </c>
      <c r="U13" s="51">
        <f t="shared" si="6"/>
        <v>0</v>
      </c>
      <c r="V13" s="51">
        <f t="shared" si="6"/>
        <v>0</v>
      </c>
      <c r="W13" s="51">
        <f t="shared" si="6"/>
        <v>0</v>
      </c>
      <c r="X13" s="51">
        <f t="shared" si="6"/>
        <v>0</v>
      </c>
      <c r="Y13" s="51">
        <f t="shared" si="6"/>
        <v>0</v>
      </c>
      <c r="Z13" s="51">
        <f t="shared" si="6"/>
        <v>0</v>
      </c>
      <c r="AA13" s="51">
        <f t="shared" si="6"/>
        <v>0</v>
      </c>
      <c r="AB13" s="51">
        <f t="shared" si="6"/>
        <v>0</v>
      </c>
      <c r="AC13" s="51">
        <f t="shared" si="6"/>
        <v>0</v>
      </c>
    </row>
    <row r="14" spans="1:29" x14ac:dyDescent="0.2">
      <c r="A14" s="891"/>
      <c r="B14" s="57"/>
      <c r="C14" s="58" t="s">
        <v>52</v>
      </c>
      <c r="D14" s="59" t="s">
        <v>53</v>
      </c>
      <c r="E14" s="60">
        <f>E15</f>
        <v>0</v>
      </c>
      <c r="F14" s="60">
        <f t="shared" si="6"/>
        <v>378</v>
      </c>
      <c r="G14" s="61">
        <v>0</v>
      </c>
      <c r="H14" s="62">
        <f t="shared" si="6"/>
        <v>378</v>
      </c>
      <c r="I14" s="63">
        <f t="shared" si="6"/>
        <v>0</v>
      </c>
      <c r="J14" s="64">
        <v>0</v>
      </c>
      <c r="K14" s="872">
        <f t="shared" si="6"/>
        <v>0</v>
      </c>
      <c r="L14" s="60">
        <f t="shared" si="6"/>
        <v>0</v>
      </c>
      <c r="M14" s="60">
        <f t="shared" si="6"/>
        <v>0</v>
      </c>
      <c r="N14" s="60">
        <f t="shared" si="6"/>
        <v>0</v>
      </c>
      <c r="O14" s="60">
        <f t="shared" si="6"/>
        <v>0</v>
      </c>
      <c r="P14" s="60">
        <f t="shared" si="6"/>
        <v>0</v>
      </c>
      <c r="Q14" s="60">
        <f t="shared" si="6"/>
        <v>0</v>
      </c>
      <c r="R14" s="60">
        <f t="shared" si="6"/>
        <v>0</v>
      </c>
      <c r="S14" s="60">
        <f t="shared" si="6"/>
        <v>0</v>
      </c>
      <c r="T14" s="60">
        <f t="shared" si="6"/>
        <v>0</v>
      </c>
      <c r="U14" s="60">
        <f t="shared" si="6"/>
        <v>0</v>
      </c>
      <c r="V14" s="60">
        <f t="shared" si="6"/>
        <v>0</v>
      </c>
      <c r="W14" s="60">
        <f t="shared" si="6"/>
        <v>0</v>
      </c>
      <c r="X14" s="60">
        <f t="shared" si="6"/>
        <v>0</v>
      </c>
      <c r="Y14" s="60">
        <f t="shared" si="6"/>
        <v>0</v>
      </c>
      <c r="Z14" s="60">
        <f t="shared" si="6"/>
        <v>0</v>
      </c>
      <c r="AA14" s="60">
        <f t="shared" si="6"/>
        <v>0</v>
      </c>
      <c r="AB14" s="60">
        <f t="shared" si="6"/>
        <v>0</v>
      </c>
      <c r="AC14" s="60">
        <f t="shared" si="6"/>
        <v>0</v>
      </c>
    </row>
    <row r="15" spans="1:29" x14ac:dyDescent="0.2">
      <c r="A15" s="891"/>
      <c r="B15" s="65"/>
      <c r="C15" s="66" t="s">
        <v>54</v>
      </c>
      <c r="D15" s="67" t="s">
        <v>55</v>
      </c>
      <c r="E15" s="68">
        <v>0</v>
      </c>
      <c r="F15" s="30">
        <v>378</v>
      </c>
      <c r="G15" s="69">
        <v>0</v>
      </c>
      <c r="H15" s="32">
        <v>378</v>
      </c>
      <c r="I15" s="33">
        <v>0</v>
      </c>
      <c r="J15" s="34">
        <v>0</v>
      </c>
      <c r="K15" s="869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49" t="s">
        <v>56</v>
      </c>
      <c r="B16" s="70"/>
      <c r="C16" s="71"/>
      <c r="D16" s="72" t="s">
        <v>57</v>
      </c>
      <c r="E16" s="73" t="str">
        <f>E17</f>
        <v>25 000,00</v>
      </c>
      <c r="F16" s="73">
        <f t="shared" ref="F16:AC17" si="7">F17</f>
        <v>16960</v>
      </c>
      <c r="G16" s="74">
        <f t="shared" si="2"/>
        <v>0.6784</v>
      </c>
      <c r="H16" s="73">
        <f t="shared" si="7"/>
        <v>24600</v>
      </c>
      <c r="I16" s="75">
        <f t="shared" si="7"/>
        <v>25000</v>
      </c>
      <c r="J16" s="76">
        <f t="shared" si="4"/>
        <v>1</v>
      </c>
      <c r="K16" s="873">
        <f t="shared" si="3"/>
        <v>25000</v>
      </c>
      <c r="L16" s="77">
        <f t="shared" si="7"/>
        <v>25000</v>
      </c>
      <c r="M16" s="73">
        <f t="shared" si="7"/>
        <v>0</v>
      </c>
      <c r="N16" s="73">
        <f t="shared" si="7"/>
        <v>25000</v>
      </c>
      <c r="O16" s="73">
        <f t="shared" si="7"/>
        <v>0</v>
      </c>
      <c r="P16" s="73">
        <f t="shared" si="7"/>
        <v>0</v>
      </c>
      <c r="Q16" s="73">
        <f t="shared" si="7"/>
        <v>0</v>
      </c>
      <c r="R16" s="73">
        <f t="shared" si="7"/>
        <v>0</v>
      </c>
      <c r="S16" s="73">
        <f t="shared" si="7"/>
        <v>0</v>
      </c>
      <c r="T16" s="73">
        <f t="shared" si="7"/>
        <v>0</v>
      </c>
      <c r="U16" s="73">
        <f t="shared" si="7"/>
        <v>0</v>
      </c>
      <c r="V16" s="73">
        <f t="shared" si="7"/>
        <v>0</v>
      </c>
      <c r="W16" s="73">
        <f t="shared" si="7"/>
        <v>0</v>
      </c>
      <c r="X16" s="73">
        <f t="shared" si="7"/>
        <v>0</v>
      </c>
      <c r="Y16" s="73">
        <f t="shared" si="7"/>
        <v>0</v>
      </c>
      <c r="Z16" s="73">
        <f t="shared" si="7"/>
        <v>0</v>
      </c>
      <c r="AA16" s="73">
        <f t="shared" si="7"/>
        <v>0</v>
      </c>
      <c r="AB16" s="73">
        <f t="shared" si="7"/>
        <v>0</v>
      </c>
      <c r="AC16" s="78">
        <f t="shared" si="7"/>
        <v>0</v>
      </c>
    </row>
    <row r="17" spans="1:29" ht="15" x14ac:dyDescent="0.2">
      <c r="A17" s="887"/>
      <c r="B17" s="19" t="s">
        <v>58</v>
      </c>
      <c r="C17" s="20"/>
      <c r="D17" s="21" t="s">
        <v>41</v>
      </c>
      <c r="E17" s="22" t="str">
        <f>E18</f>
        <v>25 000,00</v>
      </c>
      <c r="F17" s="22">
        <f t="shared" si="7"/>
        <v>16960</v>
      </c>
      <c r="G17" s="23">
        <f t="shared" si="2"/>
        <v>0.6784</v>
      </c>
      <c r="H17" s="22">
        <f t="shared" si="7"/>
        <v>24600</v>
      </c>
      <c r="I17" s="24">
        <f t="shared" si="7"/>
        <v>25000</v>
      </c>
      <c r="J17" s="37">
        <f t="shared" si="4"/>
        <v>1</v>
      </c>
      <c r="K17" s="874">
        <f t="shared" si="3"/>
        <v>25000</v>
      </c>
      <c r="L17" s="38">
        <f t="shared" si="7"/>
        <v>25000</v>
      </c>
      <c r="M17" s="22">
        <f t="shared" si="7"/>
        <v>0</v>
      </c>
      <c r="N17" s="22">
        <f t="shared" si="7"/>
        <v>25000</v>
      </c>
      <c r="O17" s="22">
        <f t="shared" si="7"/>
        <v>0</v>
      </c>
      <c r="P17" s="22">
        <f t="shared" si="7"/>
        <v>0</v>
      </c>
      <c r="Q17" s="22">
        <f t="shared" si="7"/>
        <v>0</v>
      </c>
      <c r="R17" s="22">
        <f t="shared" si="7"/>
        <v>0</v>
      </c>
      <c r="S17" s="22">
        <f t="shared" si="7"/>
        <v>0</v>
      </c>
      <c r="T17" s="22">
        <f t="shared" si="7"/>
        <v>0</v>
      </c>
      <c r="U17" s="22">
        <f t="shared" si="7"/>
        <v>0</v>
      </c>
      <c r="V17" s="22">
        <f t="shared" si="7"/>
        <v>0</v>
      </c>
      <c r="W17" s="22">
        <f t="shared" si="7"/>
        <v>0</v>
      </c>
      <c r="X17" s="22">
        <f t="shared" si="7"/>
        <v>0</v>
      </c>
      <c r="Y17" s="22">
        <f t="shared" si="7"/>
        <v>0</v>
      </c>
      <c r="Z17" s="22">
        <f t="shared" si="7"/>
        <v>0</v>
      </c>
      <c r="AA17" s="22">
        <f t="shared" si="7"/>
        <v>0</v>
      </c>
      <c r="AB17" s="22">
        <f t="shared" si="7"/>
        <v>0</v>
      </c>
      <c r="AC17" s="25">
        <f t="shared" si="7"/>
        <v>0</v>
      </c>
    </row>
    <row r="18" spans="1:29" x14ac:dyDescent="0.2">
      <c r="A18" s="889"/>
      <c r="B18" s="26"/>
      <c r="C18" s="27" t="s">
        <v>59</v>
      </c>
      <c r="D18" s="28" t="s">
        <v>60</v>
      </c>
      <c r="E18" s="29" t="s">
        <v>61</v>
      </c>
      <c r="F18" s="30">
        <v>16960</v>
      </c>
      <c r="G18" s="31">
        <f t="shared" si="2"/>
        <v>0.6784</v>
      </c>
      <c r="H18" s="32">
        <v>24600</v>
      </c>
      <c r="I18" s="33">
        <v>25000</v>
      </c>
      <c r="J18" s="34">
        <f t="shared" si="4"/>
        <v>1</v>
      </c>
      <c r="K18" s="869">
        <f t="shared" si="3"/>
        <v>25000</v>
      </c>
      <c r="L18" s="30">
        <f>SUM(M18:Q18)</f>
        <v>25000</v>
      </c>
      <c r="M18" s="30"/>
      <c r="N18" s="30">
        <v>25000</v>
      </c>
      <c r="O18" s="30"/>
      <c r="P18" s="30">
        <v>0</v>
      </c>
      <c r="Q18" s="30"/>
      <c r="R18" s="30"/>
      <c r="S18" s="30">
        <f>SUM(T18:AC18)</f>
        <v>0</v>
      </c>
      <c r="T18" s="30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885" t="s">
        <v>62</v>
      </c>
      <c r="B19" s="13"/>
      <c r="C19" s="13"/>
      <c r="D19" s="14" t="s">
        <v>63</v>
      </c>
      <c r="E19" s="15">
        <f>E20+E22</f>
        <v>30000</v>
      </c>
      <c r="F19" s="15">
        <f t="shared" ref="F19:AC19" si="8">F20+F22</f>
        <v>37486.149999999994</v>
      </c>
      <c r="G19" s="16">
        <f t="shared" si="2"/>
        <v>1.2495383333333332</v>
      </c>
      <c r="H19" s="15">
        <f t="shared" si="8"/>
        <v>37486.149999999994</v>
      </c>
      <c r="I19" s="17">
        <f t="shared" si="8"/>
        <v>22320</v>
      </c>
      <c r="J19" s="80">
        <f t="shared" si="4"/>
        <v>0.74399999999999999</v>
      </c>
      <c r="K19" s="81">
        <f t="shared" si="3"/>
        <v>22320</v>
      </c>
      <c r="L19" s="15">
        <f t="shared" si="8"/>
        <v>22320</v>
      </c>
      <c r="M19" s="15">
        <f t="shared" si="8"/>
        <v>0</v>
      </c>
      <c r="N19" s="15">
        <f t="shared" si="8"/>
        <v>22320</v>
      </c>
      <c r="O19" s="15">
        <f t="shared" si="8"/>
        <v>0</v>
      </c>
      <c r="P19" s="15">
        <f t="shared" si="8"/>
        <v>0</v>
      </c>
      <c r="Q19" s="15">
        <f t="shared" si="8"/>
        <v>0</v>
      </c>
      <c r="R19" s="15">
        <f t="shared" si="8"/>
        <v>0</v>
      </c>
      <c r="S19" s="15">
        <f t="shared" si="8"/>
        <v>0</v>
      </c>
      <c r="T19" s="15">
        <f t="shared" si="8"/>
        <v>0</v>
      </c>
      <c r="U19" s="15">
        <f t="shared" si="8"/>
        <v>0</v>
      </c>
      <c r="V19" s="15">
        <f t="shared" si="8"/>
        <v>0</v>
      </c>
      <c r="W19" s="15">
        <f t="shared" si="8"/>
        <v>0</v>
      </c>
      <c r="X19" s="15">
        <f t="shared" si="8"/>
        <v>0</v>
      </c>
      <c r="Y19" s="15">
        <f t="shared" si="8"/>
        <v>0</v>
      </c>
      <c r="Z19" s="15">
        <f t="shared" si="8"/>
        <v>0</v>
      </c>
      <c r="AA19" s="15">
        <f t="shared" si="8"/>
        <v>0</v>
      </c>
      <c r="AB19" s="15">
        <f t="shared" si="8"/>
        <v>0</v>
      </c>
      <c r="AC19" s="18">
        <f t="shared" si="8"/>
        <v>0</v>
      </c>
    </row>
    <row r="20" spans="1:29" ht="15" x14ac:dyDescent="0.2">
      <c r="A20" s="887"/>
      <c r="B20" s="19" t="s">
        <v>64</v>
      </c>
      <c r="C20" s="20"/>
      <c r="D20" s="21" t="s">
        <v>65</v>
      </c>
      <c r="E20" s="22" t="str">
        <f>E21</f>
        <v>10 000,00</v>
      </c>
      <c r="F20" s="22">
        <f t="shared" ref="F20:AC20" si="9">F21</f>
        <v>10000</v>
      </c>
      <c r="G20" s="23">
        <f t="shared" si="2"/>
        <v>1</v>
      </c>
      <c r="H20" s="22">
        <f t="shared" si="9"/>
        <v>10000</v>
      </c>
      <c r="I20" s="24">
        <f t="shared" si="9"/>
        <v>0</v>
      </c>
      <c r="J20" s="37">
        <f t="shared" si="4"/>
        <v>0</v>
      </c>
      <c r="K20" s="870">
        <f t="shared" si="3"/>
        <v>0</v>
      </c>
      <c r="L20" s="38">
        <f t="shared" si="9"/>
        <v>0</v>
      </c>
      <c r="M20" s="22">
        <f t="shared" si="9"/>
        <v>0</v>
      </c>
      <c r="N20" s="22">
        <f t="shared" si="9"/>
        <v>0</v>
      </c>
      <c r="O20" s="22">
        <f t="shared" si="9"/>
        <v>0</v>
      </c>
      <c r="P20" s="22">
        <f t="shared" si="9"/>
        <v>0</v>
      </c>
      <c r="Q20" s="22">
        <f t="shared" si="9"/>
        <v>0</v>
      </c>
      <c r="R20" s="22">
        <f t="shared" si="9"/>
        <v>0</v>
      </c>
      <c r="S20" s="22">
        <f t="shared" si="9"/>
        <v>0</v>
      </c>
      <c r="T20" s="22">
        <f t="shared" si="9"/>
        <v>0</v>
      </c>
      <c r="U20" s="22">
        <f t="shared" si="9"/>
        <v>0</v>
      </c>
      <c r="V20" s="22">
        <f t="shared" si="9"/>
        <v>0</v>
      </c>
      <c r="W20" s="22">
        <f t="shared" si="9"/>
        <v>0</v>
      </c>
      <c r="X20" s="22">
        <f t="shared" si="9"/>
        <v>0</v>
      </c>
      <c r="Y20" s="22">
        <f t="shared" si="9"/>
        <v>0</v>
      </c>
      <c r="Z20" s="22">
        <f t="shared" si="9"/>
        <v>0</v>
      </c>
      <c r="AA20" s="22">
        <f t="shared" si="9"/>
        <v>0</v>
      </c>
      <c r="AB20" s="22">
        <f t="shared" si="9"/>
        <v>0</v>
      </c>
      <c r="AC20" s="25">
        <f t="shared" si="9"/>
        <v>0</v>
      </c>
    </row>
    <row r="21" spans="1:29" ht="33.75" x14ac:dyDescent="0.2">
      <c r="A21" s="889"/>
      <c r="B21" s="26"/>
      <c r="C21" s="27" t="s">
        <v>66</v>
      </c>
      <c r="D21" s="28" t="s">
        <v>67</v>
      </c>
      <c r="E21" s="29" t="s">
        <v>68</v>
      </c>
      <c r="F21" s="30">
        <v>10000</v>
      </c>
      <c r="G21" s="31">
        <f t="shared" si="2"/>
        <v>1</v>
      </c>
      <c r="H21" s="32">
        <v>10000</v>
      </c>
      <c r="I21" s="33">
        <v>0</v>
      </c>
      <c r="J21" s="34">
        <f t="shared" si="4"/>
        <v>0</v>
      </c>
      <c r="K21" s="35">
        <f t="shared" si="3"/>
        <v>0</v>
      </c>
      <c r="L21" s="30">
        <f>SUM(M21:Q21)</f>
        <v>0</v>
      </c>
      <c r="M21" s="30"/>
      <c r="N21" s="30"/>
      <c r="O21" s="30"/>
      <c r="P21" s="30">
        <v>0</v>
      </c>
      <c r="Q21" s="30"/>
      <c r="R21" s="30"/>
      <c r="S21" s="30">
        <f>SUM(T21:AC21)</f>
        <v>0</v>
      </c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ht="15" x14ac:dyDescent="0.2">
      <c r="A22" s="887"/>
      <c r="B22" s="19" t="s">
        <v>69</v>
      </c>
      <c r="C22" s="20"/>
      <c r="D22" s="21" t="s">
        <v>70</v>
      </c>
      <c r="E22" s="22">
        <f>E23+E24+E25+E26</f>
        <v>20000</v>
      </c>
      <c r="F22" s="22">
        <f>F23+F24+F25+F26</f>
        <v>27486.149999999998</v>
      </c>
      <c r="G22" s="23">
        <f t="shared" si="2"/>
        <v>1.3743074999999998</v>
      </c>
      <c r="H22" s="22">
        <f>H23+H24+H25+H26</f>
        <v>27486.149999999998</v>
      </c>
      <c r="I22" s="24">
        <f>I23+I24+I25+I26</f>
        <v>22320</v>
      </c>
      <c r="J22" s="37">
        <f t="shared" si="4"/>
        <v>1.1160000000000001</v>
      </c>
      <c r="K22" s="870">
        <f t="shared" si="3"/>
        <v>22320</v>
      </c>
      <c r="L22" s="38">
        <f>L23+L24+L25+L26</f>
        <v>22320</v>
      </c>
      <c r="M22" s="38">
        <f t="shared" ref="M22:AC22" si="10">M23+M24+M25+M26</f>
        <v>0</v>
      </c>
      <c r="N22" s="38">
        <f t="shared" si="10"/>
        <v>22320</v>
      </c>
      <c r="O22" s="38">
        <f t="shared" si="10"/>
        <v>0</v>
      </c>
      <c r="P22" s="38">
        <f t="shared" si="10"/>
        <v>0</v>
      </c>
      <c r="Q22" s="38">
        <f t="shared" si="10"/>
        <v>0</v>
      </c>
      <c r="R22" s="38">
        <f t="shared" si="10"/>
        <v>0</v>
      </c>
      <c r="S22" s="38">
        <f t="shared" si="10"/>
        <v>0</v>
      </c>
      <c r="T22" s="38">
        <f t="shared" si="10"/>
        <v>0</v>
      </c>
      <c r="U22" s="38">
        <f t="shared" si="10"/>
        <v>0</v>
      </c>
      <c r="V22" s="38">
        <f t="shared" si="10"/>
        <v>0</v>
      </c>
      <c r="W22" s="38">
        <f t="shared" si="10"/>
        <v>0</v>
      </c>
      <c r="X22" s="38">
        <f t="shared" si="10"/>
        <v>0</v>
      </c>
      <c r="Y22" s="38">
        <f t="shared" si="10"/>
        <v>0</v>
      </c>
      <c r="Z22" s="38">
        <f t="shared" si="10"/>
        <v>0</v>
      </c>
      <c r="AA22" s="38">
        <f t="shared" si="10"/>
        <v>0</v>
      </c>
      <c r="AB22" s="38">
        <f t="shared" si="10"/>
        <v>0</v>
      </c>
      <c r="AC22" s="38">
        <f t="shared" si="10"/>
        <v>0</v>
      </c>
    </row>
    <row r="23" spans="1:29" ht="33.75" x14ac:dyDescent="0.2">
      <c r="A23" s="889"/>
      <c r="B23" s="26"/>
      <c r="C23" s="40" t="s">
        <v>71</v>
      </c>
      <c r="D23" s="41" t="s">
        <v>72</v>
      </c>
      <c r="E23" s="42" t="s">
        <v>36</v>
      </c>
      <c r="F23" s="43">
        <v>26069.25</v>
      </c>
      <c r="G23" s="44">
        <f t="shared" si="2"/>
        <v>1.3034625</v>
      </c>
      <c r="H23" s="45">
        <v>26069.25</v>
      </c>
      <c r="I23" s="46">
        <v>22320</v>
      </c>
      <c r="J23" s="47">
        <f t="shared" si="4"/>
        <v>1.1160000000000001</v>
      </c>
      <c r="K23" s="35">
        <f t="shared" si="3"/>
        <v>22320</v>
      </c>
      <c r="L23" s="43">
        <f>SUM(M23:Q23)</f>
        <v>22320</v>
      </c>
      <c r="M23" s="43"/>
      <c r="N23" s="43">
        <v>22320</v>
      </c>
      <c r="O23" s="43"/>
      <c r="P23" s="43">
        <v>0</v>
      </c>
      <c r="Q23" s="43"/>
      <c r="R23" s="43"/>
      <c r="S23" s="43">
        <f>SUM(T23:AC23)</f>
        <v>0</v>
      </c>
      <c r="T23" s="43"/>
      <c r="U23" s="43"/>
      <c r="V23" s="43"/>
      <c r="W23" s="43"/>
      <c r="X23" s="43"/>
      <c r="Y23" s="43"/>
      <c r="Z23" s="43"/>
      <c r="AA23" s="43"/>
      <c r="AB23" s="43"/>
      <c r="AC23" s="43"/>
    </row>
    <row r="24" spans="1:29" ht="22.5" x14ac:dyDescent="0.2">
      <c r="A24" s="889"/>
      <c r="B24" s="82"/>
      <c r="C24" s="66" t="s">
        <v>73</v>
      </c>
      <c r="D24" s="28" t="s">
        <v>74</v>
      </c>
      <c r="E24" s="68">
        <v>0</v>
      </c>
      <c r="F24" s="30">
        <v>1400</v>
      </c>
      <c r="G24" s="44">
        <v>0</v>
      </c>
      <c r="H24" s="32">
        <v>1400</v>
      </c>
      <c r="I24" s="33">
        <v>0</v>
      </c>
      <c r="J24" s="47">
        <v>0</v>
      </c>
      <c r="K24" s="869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ht="22.5" x14ac:dyDescent="0.2">
      <c r="A25" s="889"/>
      <c r="B25" s="82"/>
      <c r="C25" s="66" t="s">
        <v>75</v>
      </c>
      <c r="D25" s="28" t="s">
        <v>76</v>
      </c>
      <c r="E25" s="68">
        <v>0</v>
      </c>
      <c r="F25" s="30">
        <v>11.6</v>
      </c>
      <c r="G25" s="44">
        <v>0</v>
      </c>
      <c r="H25" s="32">
        <v>11.6</v>
      </c>
      <c r="I25" s="33">
        <v>0</v>
      </c>
      <c r="J25" s="47">
        <v>0</v>
      </c>
      <c r="K25" s="869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22.5" x14ac:dyDescent="0.2">
      <c r="A26" s="889"/>
      <c r="B26" s="82"/>
      <c r="C26" s="66" t="s">
        <v>77</v>
      </c>
      <c r="D26" s="28" t="s">
        <v>78</v>
      </c>
      <c r="E26" s="68">
        <v>0</v>
      </c>
      <c r="F26" s="30">
        <v>5.3</v>
      </c>
      <c r="G26" s="44">
        <v>0</v>
      </c>
      <c r="H26" s="32">
        <v>5.3</v>
      </c>
      <c r="I26" s="33">
        <v>0</v>
      </c>
      <c r="J26" s="47">
        <v>0</v>
      </c>
      <c r="K26" s="869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885" t="s">
        <v>79</v>
      </c>
      <c r="B27" s="13"/>
      <c r="C27" s="71"/>
      <c r="D27" s="72" t="s">
        <v>80</v>
      </c>
      <c r="E27" s="73">
        <f>E28</f>
        <v>2729753.58</v>
      </c>
      <c r="F27" s="73">
        <f t="shared" ref="F27:AC27" si="11">F28</f>
        <v>1535735.02</v>
      </c>
      <c r="G27" s="52">
        <f t="shared" si="2"/>
        <v>0.56259108193934482</v>
      </c>
      <c r="H27" s="77">
        <f t="shared" si="11"/>
        <v>1618062.0899999999</v>
      </c>
      <c r="I27" s="75">
        <f t="shared" si="11"/>
        <v>1403500</v>
      </c>
      <c r="J27" s="80">
        <f t="shared" si="4"/>
        <v>0.51414897310987318</v>
      </c>
      <c r="K27" s="875">
        <f t="shared" si="3"/>
        <v>1403500</v>
      </c>
      <c r="L27" s="77">
        <f t="shared" si="11"/>
        <v>1403500</v>
      </c>
      <c r="M27" s="73">
        <f t="shared" si="11"/>
        <v>0</v>
      </c>
      <c r="N27" s="73">
        <f t="shared" si="11"/>
        <v>1153500</v>
      </c>
      <c r="O27" s="73">
        <f t="shared" si="11"/>
        <v>0</v>
      </c>
      <c r="P27" s="73">
        <f t="shared" si="11"/>
        <v>250000</v>
      </c>
      <c r="Q27" s="73">
        <f t="shared" si="11"/>
        <v>0</v>
      </c>
      <c r="R27" s="73">
        <f t="shared" si="11"/>
        <v>0</v>
      </c>
      <c r="S27" s="73">
        <f t="shared" si="11"/>
        <v>0</v>
      </c>
      <c r="T27" s="73">
        <f t="shared" si="11"/>
        <v>0</v>
      </c>
      <c r="U27" s="73">
        <f t="shared" si="11"/>
        <v>0</v>
      </c>
      <c r="V27" s="73">
        <f t="shared" si="11"/>
        <v>0</v>
      </c>
      <c r="W27" s="73">
        <f t="shared" si="11"/>
        <v>0</v>
      </c>
      <c r="X27" s="73">
        <f t="shared" si="11"/>
        <v>0</v>
      </c>
      <c r="Y27" s="73">
        <f t="shared" si="11"/>
        <v>0</v>
      </c>
      <c r="Z27" s="73">
        <f t="shared" si="11"/>
        <v>0</v>
      </c>
      <c r="AA27" s="73">
        <f t="shared" si="11"/>
        <v>0</v>
      </c>
      <c r="AB27" s="73">
        <f t="shared" si="11"/>
        <v>0</v>
      </c>
      <c r="AC27" s="78">
        <f t="shared" si="11"/>
        <v>0</v>
      </c>
    </row>
    <row r="28" spans="1:29" ht="15" x14ac:dyDescent="0.2">
      <c r="A28" s="887"/>
      <c r="B28" s="19" t="s">
        <v>81</v>
      </c>
      <c r="C28" s="20"/>
      <c r="D28" s="21" t="s">
        <v>82</v>
      </c>
      <c r="E28" s="22">
        <f>E29+E30+E32+E33+E34+E35+E39+E31+E36+E37+E38</f>
        <v>2729753.58</v>
      </c>
      <c r="F28" s="22">
        <f t="shared" ref="F28:I28" si="12">F29+F30+F32+F33+F34+F35+F39+F31+F36+F37+F38</f>
        <v>1535735.02</v>
      </c>
      <c r="G28" s="83">
        <f t="shared" si="2"/>
        <v>0.56259108193934482</v>
      </c>
      <c r="H28" s="22">
        <f t="shared" si="12"/>
        <v>1618062.0899999999</v>
      </c>
      <c r="I28" s="24">
        <f t="shared" si="12"/>
        <v>1403500</v>
      </c>
      <c r="J28" s="37">
        <f t="shared" si="4"/>
        <v>0.51414897310987318</v>
      </c>
      <c r="K28" s="874">
        <f t="shared" si="3"/>
        <v>1403500</v>
      </c>
      <c r="L28" s="38">
        <f>L29+L30+L32+L33+L34+L35+L39+L31+L36+L37+L38</f>
        <v>1403500</v>
      </c>
      <c r="M28" s="38">
        <f t="shared" ref="M28:AC28" si="13">M29+M30+M32+M33+M34+M35+M39+M31+M36+M37+M38</f>
        <v>0</v>
      </c>
      <c r="N28" s="38">
        <f t="shared" si="13"/>
        <v>1153500</v>
      </c>
      <c r="O28" s="38">
        <f t="shared" si="13"/>
        <v>0</v>
      </c>
      <c r="P28" s="38">
        <f t="shared" si="13"/>
        <v>250000</v>
      </c>
      <c r="Q28" s="38">
        <f t="shared" si="13"/>
        <v>0</v>
      </c>
      <c r="R28" s="38">
        <f t="shared" si="13"/>
        <v>0</v>
      </c>
      <c r="S28" s="38">
        <f t="shared" si="13"/>
        <v>0</v>
      </c>
      <c r="T28" s="38">
        <f t="shared" si="13"/>
        <v>0</v>
      </c>
      <c r="U28" s="38">
        <f t="shared" si="13"/>
        <v>0</v>
      </c>
      <c r="V28" s="38">
        <f t="shared" si="13"/>
        <v>0</v>
      </c>
      <c r="W28" s="38">
        <f t="shared" si="13"/>
        <v>0</v>
      </c>
      <c r="X28" s="38">
        <f t="shared" si="13"/>
        <v>0</v>
      </c>
      <c r="Y28" s="38">
        <f t="shared" si="13"/>
        <v>0</v>
      </c>
      <c r="Z28" s="38">
        <f t="shared" si="13"/>
        <v>0</v>
      </c>
      <c r="AA28" s="38">
        <f t="shared" si="13"/>
        <v>0</v>
      </c>
      <c r="AB28" s="38">
        <f t="shared" si="13"/>
        <v>0</v>
      </c>
      <c r="AC28" s="38">
        <f t="shared" si="13"/>
        <v>0</v>
      </c>
    </row>
    <row r="29" spans="1:29" ht="22.5" x14ac:dyDescent="0.2">
      <c r="A29" s="889"/>
      <c r="B29" s="26"/>
      <c r="C29" s="27" t="s">
        <v>83</v>
      </c>
      <c r="D29" s="28" t="s">
        <v>84</v>
      </c>
      <c r="E29" s="29" t="s">
        <v>85</v>
      </c>
      <c r="F29" s="30">
        <v>30689.17</v>
      </c>
      <c r="G29" s="31">
        <f t="shared" si="2"/>
        <v>0.76722924999999997</v>
      </c>
      <c r="H29" s="32">
        <v>34301.15</v>
      </c>
      <c r="I29" s="33">
        <v>37500</v>
      </c>
      <c r="J29" s="34">
        <f t="shared" si="4"/>
        <v>0.9375</v>
      </c>
      <c r="K29" s="869">
        <f t="shared" si="3"/>
        <v>37500</v>
      </c>
      <c r="L29" s="36">
        <f>SUM(M29:Q29)</f>
        <v>37500</v>
      </c>
      <c r="M29" s="30"/>
      <c r="N29" s="30">
        <v>37500</v>
      </c>
      <c r="O29" s="30"/>
      <c r="P29" s="30">
        <v>0</v>
      </c>
      <c r="Q29" s="30"/>
      <c r="R29" s="30"/>
      <c r="S29" s="30">
        <f>SUM(T29:AC29)</f>
        <v>0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ht="22.5" x14ac:dyDescent="0.2">
      <c r="A30" s="889"/>
      <c r="B30" s="26"/>
      <c r="C30" s="27" t="s">
        <v>86</v>
      </c>
      <c r="D30" s="28" t="s">
        <v>87</v>
      </c>
      <c r="E30" s="29" t="s">
        <v>88</v>
      </c>
      <c r="F30" s="30">
        <v>78591.58</v>
      </c>
      <c r="G30" s="31">
        <f t="shared" si="2"/>
        <v>0.98239474999999998</v>
      </c>
      <c r="H30" s="32">
        <v>80000</v>
      </c>
      <c r="I30" s="33">
        <v>50000</v>
      </c>
      <c r="J30" s="34">
        <f t="shared" si="4"/>
        <v>0.625</v>
      </c>
      <c r="K30" s="869">
        <f t="shared" si="3"/>
        <v>50000</v>
      </c>
      <c r="L30" s="36">
        <f t="shared" ref="L30:L39" si="14">SUM(M30:Q30)</f>
        <v>50000</v>
      </c>
      <c r="M30" s="30"/>
      <c r="N30" s="30">
        <v>50000</v>
      </c>
      <c r="O30" s="30"/>
      <c r="P30" s="30">
        <v>0</v>
      </c>
      <c r="Q30" s="30"/>
      <c r="R30" s="30"/>
      <c r="S30" s="30">
        <f t="shared" ref="S30:S39" si="15">SUM(T30:AC30)</f>
        <v>0</v>
      </c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ht="22.5" x14ac:dyDescent="0.2">
      <c r="A31" s="889"/>
      <c r="B31" s="26"/>
      <c r="C31" s="66" t="s">
        <v>75</v>
      </c>
      <c r="D31" s="28" t="s">
        <v>76</v>
      </c>
      <c r="E31" s="29">
        <v>0</v>
      </c>
      <c r="F31" s="30">
        <v>58</v>
      </c>
      <c r="G31" s="31">
        <v>0</v>
      </c>
      <c r="H31" s="32">
        <v>58</v>
      </c>
      <c r="I31" s="33">
        <v>0</v>
      </c>
      <c r="J31" s="34">
        <v>0</v>
      </c>
      <c r="K31" s="869"/>
      <c r="L31" s="36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</row>
    <row r="32" spans="1:29" ht="33.75" x14ac:dyDescent="0.2">
      <c r="A32" s="889"/>
      <c r="B32" s="26"/>
      <c r="C32" s="27" t="s">
        <v>89</v>
      </c>
      <c r="D32" s="28" t="s">
        <v>90</v>
      </c>
      <c r="E32" s="29" t="s">
        <v>91</v>
      </c>
      <c r="F32" s="30">
        <v>207600.46</v>
      </c>
      <c r="G32" s="31">
        <f t="shared" si="2"/>
        <v>1</v>
      </c>
      <c r="H32" s="32">
        <v>207600.46</v>
      </c>
      <c r="I32" s="33">
        <v>0</v>
      </c>
      <c r="J32" s="34">
        <f t="shared" si="4"/>
        <v>0</v>
      </c>
      <c r="K32" s="869">
        <f t="shared" si="3"/>
        <v>0</v>
      </c>
      <c r="L32" s="36">
        <f t="shared" si="14"/>
        <v>0</v>
      </c>
      <c r="M32" s="30"/>
      <c r="N32" s="30">
        <v>0</v>
      </c>
      <c r="O32" s="30"/>
      <c r="P32" s="30">
        <v>0</v>
      </c>
      <c r="Q32" s="30"/>
      <c r="R32" s="30"/>
      <c r="S32" s="30">
        <f t="shared" si="15"/>
        <v>0</v>
      </c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3" spans="1:29" ht="45" x14ac:dyDescent="0.2">
      <c r="A33" s="889"/>
      <c r="B33" s="26"/>
      <c r="C33" s="27" t="s">
        <v>42</v>
      </c>
      <c r="D33" s="28" t="s">
        <v>43</v>
      </c>
      <c r="E33" s="29" t="s">
        <v>92</v>
      </c>
      <c r="F33" s="30">
        <v>214498.29</v>
      </c>
      <c r="G33" s="31">
        <f t="shared" si="2"/>
        <v>0.64125049327354267</v>
      </c>
      <c r="H33" s="32">
        <v>278064.74</v>
      </c>
      <c r="I33" s="33">
        <v>287000</v>
      </c>
      <c r="J33" s="34">
        <f t="shared" si="4"/>
        <v>0.85799701046337817</v>
      </c>
      <c r="K33" s="869">
        <f t="shared" si="3"/>
        <v>287000</v>
      </c>
      <c r="L33" s="36">
        <f t="shared" si="14"/>
        <v>287000</v>
      </c>
      <c r="M33" s="30"/>
      <c r="N33" s="30">
        <v>37000</v>
      </c>
      <c r="O33" s="30"/>
      <c r="P33" s="30">
        <v>250000</v>
      </c>
      <c r="Q33" s="30"/>
      <c r="R33" s="30"/>
      <c r="S33" s="30">
        <f t="shared" si="15"/>
        <v>0</v>
      </c>
      <c r="T33" s="30"/>
      <c r="U33" s="30"/>
      <c r="V33" s="30"/>
      <c r="W33" s="30"/>
      <c r="X33" s="30"/>
      <c r="Y33" s="30"/>
      <c r="Z33" s="30"/>
      <c r="AA33" s="30"/>
      <c r="AB33" s="30"/>
      <c r="AC33" s="30"/>
    </row>
    <row r="34" spans="1:29" ht="33.75" x14ac:dyDescent="0.2">
      <c r="A34" s="889"/>
      <c r="B34" s="26"/>
      <c r="C34" s="27" t="s">
        <v>93</v>
      </c>
      <c r="D34" s="28" t="s">
        <v>94</v>
      </c>
      <c r="E34" s="29" t="s">
        <v>95</v>
      </c>
      <c r="F34" s="30">
        <v>12009.7</v>
      </c>
      <c r="G34" s="31">
        <f t="shared" si="2"/>
        <v>6.0048500000000002</v>
      </c>
      <c r="H34" s="32">
        <v>12009.7</v>
      </c>
      <c r="I34" s="33">
        <v>29000</v>
      </c>
      <c r="J34" s="34">
        <f t="shared" si="4"/>
        <v>14.5</v>
      </c>
      <c r="K34" s="869">
        <f t="shared" si="3"/>
        <v>29000</v>
      </c>
      <c r="L34" s="36">
        <f t="shared" si="14"/>
        <v>29000</v>
      </c>
      <c r="M34" s="30"/>
      <c r="N34" s="30">
        <v>29000</v>
      </c>
      <c r="O34" s="30"/>
      <c r="P34" s="30">
        <v>0</v>
      </c>
      <c r="Q34" s="30"/>
      <c r="R34" s="30"/>
      <c r="S34" s="30">
        <f t="shared" si="15"/>
        <v>0</v>
      </c>
      <c r="T34" s="30"/>
      <c r="U34" s="30"/>
      <c r="V34" s="30"/>
      <c r="W34" s="30"/>
      <c r="X34" s="30"/>
      <c r="Y34" s="30"/>
      <c r="Z34" s="30"/>
      <c r="AA34" s="30"/>
      <c r="AB34" s="30"/>
      <c r="AC34" s="30"/>
    </row>
    <row r="35" spans="1:29" ht="22.5" x14ac:dyDescent="0.2">
      <c r="A35" s="889"/>
      <c r="B35" s="26"/>
      <c r="C35" s="27" t="s">
        <v>96</v>
      </c>
      <c r="D35" s="28" t="s">
        <v>97</v>
      </c>
      <c r="E35" s="29" t="s">
        <v>98</v>
      </c>
      <c r="F35" s="30">
        <v>991084.65</v>
      </c>
      <c r="G35" s="31">
        <f t="shared" si="2"/>
        <v>0.99108465000000001</v>
      </c>
      <c r="H35" s="32">
        <v>1004824.87</v>
      </c>
      <c r="I35" s="33">
        <v>1000000</v>
      </c>
      <c r="J35" s="34">
        <f t="shared" si="4"/>
        <v>1</v>
      </c>
      <c r="K35" s="869">
        <f t="shared" si="3"/>
        <v>1000000</v>
      </c>
      <c r="L35" s="36">
        <f t="shared" si="14"/>
        <v>1000000</v>
      </c>
      <c r="M35" s="30"/>
      <c r="N35" s="30">
        <v>1000000</v>
      </c>
      <c r="O35" s="30"/>
      <c r="P35" s="30">
        <v>0</v>
      </c>
      <c r="Q35" s="30"/>
      <c r="R35" s="30"/>
      <c r="S35" s="30">
        <f t="shared" si="15"/>
        <v>0</v>
      </c>
      <c r="T35" s="30"/>
      <c r="U35" s="30"/>
      <c r="V35" s="30"/>
      <c r="W35" s="30"/>
      <c r="X35" s="30"/>
      <c r="Y35" s="30"/>
      <c r="Z35" s="30"/>
      <c r="AA35" s="30"/>
      <c r="AB35" s="30"/>
      <c r="AC35" s="30"/>
    </row>
    <row r="36" spans="1:29" x14ac:dyDescent="0.2">
      <c r="A36" s="889"/>
      <c r="B36" s="26"/>
      <c r="C36" s="39" t="s">
        <v>99</v>
      </c>
      <c r="D36" s="28" t="s">
        <v>100</v>
      </c>
      <c r="E36" s="29">
        <v>0</v>
      </c>
      <c r="F36" s="30">
        <v>527.75</v>
      </c>
      <c r="G36" s="31">
        <v>0</v>
      </c>
      <c r="H36" s="32">
        <v>527.75</v>
      </c>
      <c r="I36" s="33">
        <v>0</v>
      </c>
      <c r="J36" s="34">
        <v>0</v>
      </c>
      <c r="K36" s="35"/>
      <c r="L36" s="36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</row>
    <row r="37" spans="1:29" ht="22.5" x14ac:dyDescent="0.2">
      <c r="A37" s="889"/>
      <c r="B37" s="26"/>
      <c r="C37" s="39" t="s">
        <v>77</v>
      </c>
      <c r="D37" s="28" t="s">
        <v>78</v>
      </c>
      <c r="E37" s="29">
        <v>0</v>
      </c>
      <c r="F37" s="30">
        <v>447.66</v>
      </c>
      <c r="G37" s="31">
        <v>0</v>
      </c>
      <c r="H37" s="32">
        <v>447.66</v>
      </c>
      <c r="I37" s="33">
        <v>0</v>
      </c>
      <c r="J37" s="34">
        <v>0</v>
      </c>
      <c r="K37" s="35"/>
      <c r="L37" s="36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</row>
    <row r="38" spans="1:29" x14ac:dyDescent="0.2">
      <c r="A38" s="889"/>
      <c r="B38" s="26"/>
      <c r="C38" s="39" t="s">
        <v>45</v>
      </c>
      <c r="D38" s="28" t="s">
        <v>46</v>
      </c>
      <c r="E38" s="29">
        <v>0</v>
      </c>
      <c r="F38" s="30">
        <v>227.76</v>
      </c>
      <c r="G38" s="31">
        <v>0</v>
      </c>
      <c r="H38" s="32">
        <v>227.76</v>
      </c>
      <c r="I38" s="33">
        <v>0</v>
      </c>
      <c r="J38" s="34">
        <v>0</v>
      </c>
      <c r="K38" s="35"/>
      <c r="L38" s="36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</row>
    <row r="39" spans="1:29" ht="45" x14ac:dyDescent="0.2">
      <c r="A39" s="889"/>
      <c r="B39" s="26"/>
      <c r="C39" s="27" t="s">
        <v>101</v>
      </c>
      <c r="D39" s="28" t="s">
        <v>102</v>
      </c>
      <c r="E39" s="29" t="s">
        <v>103</v>
      </c>
      <c r="F39" s="30">
        <v>0</v>
      </c>
      <c r="G39" s="31">
        <f t="shared" si="2"/>
        <v>0</v>
      </c>
      <c r="H39" s="32">
        <v>0</v>
      </c>
      <c r="I39" s="33">
        <v>0</v>
      </c>
      <c r="J39" s="34">
        <f t="shared" si="4"/>
        <v>0</v>
      </c>
      <c r="K39" s="35">
        <f t="shared" si="3"/>
        <v>0</v>
      </c>
      <c r="L39" s="36">
        <f t="shared" si="14"/>
        <v>0</v>
      </c>
      <c r="M39" s="30"/>
      <c r="N39" s="30"/>
      <c r="O39" s="30"/>
      <c r="P39" s="30">
        <v>0</v>
      </c>
      <c r="Q39" s="30"/>
      <c r="R39" s="30"/>
      <c r="S39" s="30">
        <f t="shared" si="15"/>
        <v>0</v>
      </c>
      <c r="T39" s="30"/>
      <c r="U39" s="30"/>
      <c r="V39" s="30"/>
      <c r="W39" s="30"/>
      <c r="X39" s="30"/>
      <c r="Y39" s="30"/>
      <c r="Z39" s="30"/>
      <c r="AA39" s="30"/>
      <c r="AB39" s="30"/>
      <c r="AC39" s="30"/>
    </row>
    <row r="40" spans="1:29" x14ac:dyDescent="0.2">
      <c r="A40" s="885" t="s">
        <v>104</v>
      </c>
      <c r="B40" s="13"/>
      <c r="C40" s="13"/>
      <c r="D40" s="14" t="s">
        <v>105</v>
      </c>
      <c r="E40" s="15">
        <f>E41+E44+E48+E50</f>
        <v>177932.41</v>
      </c>
      <c r="F40" s="15">
        <f>F41+F44+F48+F50</f>
        <v>118832.72</v>
      </c>
      <c r="G40" s="16">
        <f t="shared" si="2"/>
        <v>0.66785314715851929</v>
      </c>
      <c r="H40" s="15">
        <f>H41+H44+H48+H50</f>
        <v>178374.13</v>
      </c>
      <c r="I40" s="17">
        <f>I41+I44+I48+I50</f>
        <v>153840</v>
      </c>
      <c r="J40" s="80">
        <f t="shared" si="4"/>
        <v>0.86459796728431881</v>
      </c>
      <c r="K40" s="876">
        <f t="shared" si="3"/>
        <v>153840</v>
      </c>
      <c r="L40" s="84">
        <f t="shared" ref="L40:AC40" si="16">L41+L44</f>
        <v>153840</v>
      </c>
      <c r="M40" s="15">
        <f>M41+M44+M48+M50</f>
        <v>152140</v>
      </c>
      <c r="N40" s="15">
        <f t="shared" si="16"/>
        <v>0</v>
      </c>
      <c r="O40" s="15">
        <f t="shared" si="16"/>
        <v>0</v>
      </c>
      <c r="P40" s="15">
        <f t="shared" si="16"/>
        <v>1700</v>
      </c>
      <c r="Q40" s="15">
        <f t="shared" si="16"/>
        <v>0</v>
      </c>
      <c r="R40" s="15">
        <f t="shared" si="16"/>
        <v>0</v>
      </c>
      <c r="S40" s="15">
        <f t="shared" si="16"/>
        <v>0</v>
      </c>
      <c r="T40" s="15">
        <f t="shared" si="16"/>
        <v>0</v>
      </c>
      <c r="U40" s="15">
        <f t="shared" si="16"/>
        <v>0</v>
      </c>
      <c r="V40" s="15">
        <f t="shared" si="16"/>
        <v>0</v>
      </c>
      <c r="W40" s="15">
        <f t="shared" si="16"/>
        <v>0</v>
      </c>
      <c r="X40" s="15">
        <f t="shared" si="16"/>
        <v>0</v>
      </c>
      <c r="Y40" s="15">
        <f t="shared" si="16"/>
        <v>0</v>
      </c>
      <c r="Z40" s="15">
        <f t="shared" si="16"/>
        <v>0</v>
      </c>
      <c r="AA40" s="15">
        <f t="shared" si="16"/>
        <v>0</v>
      </c>
      <c r="AB40" s="15">
        <f t="shared" si="16"/>
        <v>0</v>
      </c>
      <c r="AC40" s="18">
        <f t="shared" si="16"/>
        <v>0</v>
      </c>
    </row>
    <row r="41" spans="1:29" ht="15" x14ac:dyDescent="0.2">
      <c r="A41" s="887"/>
      <c r="B41" s="19" t="s">
        <v>106</v>
      </c>
      <c r="C41" s="20"/>
      <c r="D41" s="21" t="s">
        <v>107</v>
      </c>
      <c r="E41" s="22">
        <f>E42+E43</f>
        <v>176332</v>
      </c>
      <c r="F41" s="22">
        <f>F42+F43</f>
        <v>117219.5</v>
      </c>
      <c r="G41" s="23">
        <f t="shared" si="2"/>
        <v>0.66476589615044346</v>
      </c>
      <c r="H41" s="22">
        <f>H42+H43</f>
        <v>176347.5</v>
      </c>
      <c r="I41" s="24">
        <f>I42+I43</f>
        <v>152140</v>
      </c>
      <c r="J41" s="37">
        <f t="shared" si="4"/>
        <v>0.86280425560873808</v>
      </c>
      <c r="K41" s="870">
        <f>L41+R41+S41</f>
        <v>152140</v>
      </c>
      <c r="L41" s="38">
        <f>L42+L43</f>
        <v>152140</v>
      </c>
      <c r="M41" s="38">
        <f>M42+M43</f>
        <v>152140</v>
      </c>
      <c r="N41" s="38">
        <f t="shared" ref="N41:AC41" si="17">N42+N43</f>
        <v>0</v>
      </c>
      <c r="O41" s="38">
        <f t="shared" si="17"/>
        <v>0</v>
      </c>
      <c r="P41" s="38">
        <f t="shared" si="17"/>
        <v>0</v>
      </c>
      <c r="Q41" s="38">
        <f t="shared" si="17"/>
        <v>0</v>
      </c>
      <c r="R41" s="38">
        <f t="shared" si="17"/>
        <v>0</v>
      </c>
      <c r="S41" s="38">
        <f t="shared" si="17"/>
        <v>0</v>
      </c>
      <c r="T41" s="38">
        <f t="shared" si="17"/>
        <v>0</v>
      </c>
      <c r="U41" s="38">
        <f t="shared" si="17"/>
        <v>0</v>
      </c>
      <c r="V41" s="38">
        <f t="shared" si="17"/>
        <v>0</v>
      </c>
      <c r="W41" s="38">
        <f t="shared" si="17"/>
        <v>0</v>
      </c>
      <c r="X41" s="38">
        <f t="shared" si="17"/>
        <v>0</v>
      </c>
      <c r="Y41" s="38">
        <f t="shared" si="17"/>
        <v>0</v>
      </c>
      <c r="Z41" s="38">
        <f t="shared" si="17"/>
        <v>0</v>
      </c>
      <c r="AA41" s="38">
        <f t="shared" si="17"/>
        <v>0</v>
      </c>
      <c r="AB41" s="38">
        <f t="shared" si="17"/>
        <v>0</v>
      </c>
      <c r="AC41" s="38">
        <f t="shared" si="17"/>
        <v>0</v>
      </c>
    </row>
    <row r="42" spans="1:29" ht="45" x14ac:dyDescent="0.2">
      <c r="A42" s="889"/>
      <c r="B42" s="26"/>
      <c r="C42" s="27" t="s">
        <v>47</v>
      </c>
      <c r="D42" s="28" t="s">
        <v>48</v>
      </c>
      <c r="E42" s="42" t="s">
        <v>108</v>
      </c>
      <c r="F42" s="43">
        <v>117204</v>
      </c>
      <c r="G42" s="44">
        <f t="shared" si="2"/>
        <v>0.66467799378445203</v>
      </c>
      <c r="H42" s="45">
        <v>176332</v>
      </c>
      <c r="I42" s="46">
        <f>K42</f>
        <v>152140</v>
      </c>
      <c r="J42" s="47">
        <f t="shared" si="4"/>
        <v>0.86280425560873808</v>
      </c>
      <c r="K42" s="35">
        <f t="shared" si="3"/>
        <v>152140</v>
      </c>
      <c r="L42" s="43">
        <f>SUM(M42:Q42)</f>
        <v>152140</v>
      </c>
      <c r="M42" s="43">
        <f>143228-143228+152140</f>
        <v>152140</v>
      </c>
      <c r="N42" s="43"/>
      <c r="O42" s="43"/>
      <c r="P42" s="43">
        <v>0</v>
      </c>
      <c r="Q42" s="43"/>
      <c r="R42" s="43"/>
      <c r="S42" s="43">
        <f>SUM(T42:AC42)</f>
        <v>0</v>
      </c>
      <c r="T42" s="43"/>
      <c r="U42" s="43"/>
      <c r="V42" s="43"/>
      <c r="W42" s="43"/>
      <c r="X42" s="43"/>
      <c r="Y42" s="43"/>
      <c r="Z42" s="43"/>
      <c r="AA42" s="43"/>
      <c r="AB42" s="43"/>
      <c r="AC42" s="43"/>
    </row>
    <row r="43" spans="1:29" ht="33.75" x14ac:dyDescent="0.2">
      <c r="A43" s="889"/>
      <c r="B43" s="26"/>
      <c r="C43" s="27" t="s">
        <v>109</v>
      </c>
      <c r="D43" s="85" t="s">
        <v>110</v>
      </c>
      <c r="E43" s="68">
        <v>0</v>
      </c>
      <c r="F43" s="30">
        <v>15.5</v>
      </c>
      <c r="G43" s="69">
        <v>0</v>
      </c>
      <c r="H43" s="32">
        <v>15.5</v>
      </c>
      <c r="I43" s="33">
        <v>0</v>
      </c>
      <c r="J43" s="34">
        <v>0</v>
      </c>
      <c r="K43" s="869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</row>
    <row r="44" spans="1:29" ht="15" x14ac:dyDescent="0.2">
      <c r="A44" s="887"/>
      <c r="B44" s="19" t="s">
        <v>111</v>
      </c>
      <c r="C44" s="20"/>
      <c r="D44" s="21" t="s">
        <v>112</v>
      </c>
      <c r="E44" s="86">
        <f>E45+E47+E46</f>
        <v>1600.4099999999999</v>
      </c>
      <c r="F44" s="86">
        <f>F45+F47+F46</f>
        <v>1450.25</v>
      </c>
      <c r="G44" s="87">
        <f t="shared" si="2"/>
        <v>0.9061740429015066</v>
      </c>
      <c r="H44" s="86">
        <f>H45+H47+H46</f>
        <v>1863.6599999999999</v>
      </c>
      <c r="I44" s="88">
        <f>I45+I47+I46</f>
        <v>1700</v>
      </c>
      <c r="J44" s="89">
        <f t="shared" si="4"/>
        <v>1.0622278041251929</v>
      </c>
      <c r="K44" s="877">
        <f t="shared" si="3"/>
        <v>1700</v>
      </c>
      <c r="L44" s="90">
        <f t="shared" ref="L44" si="18">L45+L47</f>
        <v>1700</v>
      </c>
      <c r="M44" s="86">
        <f>M45+M47+M46</f>
        <v>0</v>
      </c>
      <c r="N44" s="86">
        <f t="shared" ref="N44:AC44" si="19">N45+N47+N46</f>
        <v>0</v>
      </c>
      <c r="O44" s="86">
        <f t="shared" si="19"/>
        <v>0</v>
      </c>
      <c r="P44" s="86">
        <f t="shared" si="19"/>
        <v>1700</v>
      </c>
      <c r="Q44" s="86">
        <f t="shared" si="19"/>
        <v>0</v>
      </c>
      <c r="R44" s="86">
        <f t="shared" si="19"/>
        <v>0</v>
      </c>
      <c r="S44" s="86">
        <f t="shared" si="19"/>
        <v>0</v>
      </c>
      <c r="T44" s="86">
        <f t="shared" si="19"/>
        <v>0</v>
      </c>
      <c r="U44" s="86">
        <f t="shared" si="19"/>
        <v>0</v>
      </c>
      <c r="V44" s="86">
        <f t="shared" si="19"/>
        <v>0</v>
      </c>
      <c r="W44" s="86">
        <f t="shared" si="19"/>
        <v>0</v>
      </c>
      <c r="X44" s="86">
        <f t="shared" si="19"/>
        <v>0</v>
      </c>
      <c r="Y44" s="86">
        <f t="shared" si="19"/>
        <v>0</v>
      </c>
      <c r="Z44" s="86">
        <f t="shared" si="19"/>
        <v>0</v>
      </c>
      <c r="AA44" s="86">
        <f t="shared" si="19"/>
        <v>0</v>
      </c>
      <c r="AB44" s="86">
        <f t="shared" si="19"/>
        <v>0</v>
      </c>
      <c r="AC44" s="86">
        <f t="shared" si="19"/>
        <v>0</v>
      </c>
    </row>
    <row r="45" spans="1:29" ht="22.5" x14ac:dyDescent="0.2">
      <c r="A45" s="889"/>
      <c r="B45" s="26"/>
      <c r="C45" s="27" t="s">
        <v>73</v>
      </c>
      <c r="D45" s="28" t="s">
        <v>74</v>
      </c>
      <c r="E45" s="29" t="s">
        <v>113</v>
      </c>
      <c r="F45" s="30">
        <v>799.6</v>
      </c>
      <c r="G45" s="31">
        <f t="shared" si="2"/>
        <v>0.79959999999999998</v>
      </c>
      <c r="H45" s="32">
        <v>1000</v>
      </c>
      <c r="I45" s="33">
        <v>1000</v>
      </c>
      <c r="J45" s="34">
        <f t="shared" si="4"/>
        <v>1</v>
      </c>
      <c r="K45" s="869">
        <f t="shared" si="3"/>
        <v>1000</v>
      </c>
      <c r="L45" s="30">
        <f>SUM(M45:Q45)</f>
        <v>1000</v>
      </c>
      <c r="M45" s="30"/>
      <c r="N45" s="30"/>
      <c r="O45" s="30"/>
      <c r="P45" s="30">
        <v>1000</v>
      </c>
      <c r="Q45" s="30"/>
      <c r="R45" s="30"/>
      <c r="S45" s="30">
        <f>SUM(T45:AC45)</f>
        <v>0</v>
      </c>
      <c r="T45" s="30"/>
      <c r="U45" s="30"/>
      <c r="V45" s="30"/>
      <c r="W45" s="30"/>
      <c r="X45" s="30"/>
      <c r="Y45" s="30"/>
      <c r="Z45" s="30"/>
      <c r="AA45" s="30"/>
      <c r="AB45" s="30"/>
      <c r="AC45" s="30"/>
    </row>
    <row r="46" spans="1:29" ht="22.5" x14ac:dyDescent="0.2">
      <c r="A46" s="889"/>
      <c r="B46" s="26"/>
      <c r="C46" s="39" t="s">
        <v>75</v>
      </c>
      <c r="D46" s="28" t="s">
        <v>76</v>
      </c>
      <c r="E46" s="29">
        <v>0</v>
      </c>
      <c r="F46" s="30">
        <v>11.6</v>
      </c>
      <c r="G46" s="31">
        <v>0</v>
      </c>
      <c r="H46" s="32">
        <v>11.6</v>
      </c>
      <c r="I46" s="33">
        <v>0</v>
      </c>
      <c r="J46" s="34">
        <v>0</v>
      </c>
      <c r="K46" s="35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</row>
    <row r="47" spans="1:29" x14ac:dyDescent="0.2">
      <c r="A47" s="889"/>
      <c r="B47" s="26"/>
      <c r="C47" s="40" t="s">
        <v>114</v>
      </c>
      <c r="D47" s="41" t="s">
        <v>115</v>
      </c>
      <c r="E47" s="42" t="s">
        <v>116</v>
      </c>
      <c r="F47" s="43">
        <v>639.04999999999995</v>
      </c>
      <c r="G47" s="44">
        <f t="shared" si="2"/>
        <v>1.0643560233840208</v>
      </c>
      <c r="H47" s="45">
        <v>852.06</v>
      </c>
      <c r="I47" s="46">
        <v>700</v>
      </c>
      <c r="J47" s="47">
        <f t="shared" si="4"/>
        <v>1.1658699888409587</v>
      </c>
      <c r="K47" s="35">
        <f t="shared" si="3"/>
        <v>700</v>
      </c>
      <c r="L47" s="43">
        <f>SUM(M47:Q47)</f>
        <v>700</v>
      </c>
      <c r="M47" s="43"/>
      <c r="N47" s="43"/>
      <c r="O47" s="43"/>
      <c r="P47" s="43">
        <v>700</v>
      </c>
      <c r="Q47" s="43"/>
      <c r="R47" s="43"/>
      <c r="S47" s="43">
        <f>SUM(T47:AC47)</f>
        <v>0</v>
      </c>
      <c r="T47" s="43"/>
      <c r="U47" s="43"/>
      <c r="V47" s="43"/>
      <c r="W47" s="43"/>
      <c r="X47" s="43"/>
      <c r="Y47" s="43"/>
      <c r="Z47" s="43"/>
      <c r="AA47" s="43"/>
      <c r="AB47" s="43"/>
      <c r="AC47" s="43"/>
    </row>
    <row r="48" spans="1:29" x14ac:dyDescent="0.2">
      <c r="A48" s="891"/>
      <c r="B48" s="91" t="s">
        <v>117</v>
      </c>
      <c r="C48" s="91"/>
      <c r="D48" s="59" t="s">
        <v>118</v>
      </c>
      <c r="E48" s="60">
        <f>E49</f>
        <v>0</v>
      </c>
      <c r="F48" s="60">
        <f t="shared" ref="F48:I48" si="20">F49</f>
        <v>66.97</v>
      </c>
      <c r="G48" s="61">
        <v>0</v>
      </c>
      <c r="H48" s="62">
        <f t="shared" si="20"/>
        <v>66.97</v>
      </c>
      <c r="I48" s="63">
        <f t="shared" si="20"/>
        <v>0</v>
      </c>
      <c r="J48" s="37">
        <v>0</v>
      </c>
      <c r="K48" s="870"/>
      <c r="L48" s="92">
        <f>L49</f>
        <v>0</v>
      </c>
      <c r="M48" s="92">
        <f t="shared" ref="M48:AC48" si="21">M49</f>
        <v>0</v>
      </c>
      <c r="N48" s="92">
        <f t="shared" si="21"/>
        <v>0</v>
      </c>
      <c r="O48" s="92">
        <f t="shared" si="21"/>
        <v>0</v>
      </c>
      <c r="P48" s="92">
        <f t="shared" si="21"/>
        <v>0</v>
      </c>
      <c r="Q48" s="92">
        <f t="shared" si="21"/>
        <v>0</v>
      </c>
      <c r="R48" s="92">
        <f t="shared" si="21"/>
        <v>0</v>
      </c>
      <c r="S48" s="92">
        <f t="shared" si="21"/>
        <v>0</v>
      </c>
      <c r="T48" s="92">
        <f t="shared" si="21"/>
        <v>0</v>
      </c>
      <c r="U48" s="92">
        <f t="shared" si="21"/>
        <v>0</v>
      </c>
      <c r="V48" s="92">
        <f t="shared" si="21"/>
        <v>0</v>
      </c>
      <c r="W48" s="92">
        <f t="shared" si="21"/>
        <v>0</v>
      </c>
      <c r="X48" s="92">
        <f t="shared" si="21"/>
        <v>0</v>
      </c>
      <c r="Y48" s="92">
        <f t="shared" si="21"/>
        <v>0</v>
      </c>
      <c r="Z48" s="92">
        <f t="shared" si="21"/>
        <v>0</v>
      </c>
      <c r="AA48" s="92">
        <f t="shared" si="21"/>
        <v>0</v>
      </c>
      <c r="AB48" s="92">
        <f t="shared" si="21"/>
        <v>0</v>
      </c>
      <c r="AC48" s="92">
        <f t="shared" si="21"/>
        <v>0</v>
      </c>
    </row>
    <row r="49" spans="1:29" x14ac:dyDescent="0.2">
      <c r="A49" s="891"/>
      <c r="B49" s="93"/>
      <c r="C49" s="66" t="s">
        <v>119</v>
      </c>
      <c r="D49" s="67" t="s">
        <v>120</v>
      </c>
      <c r="E49" s="68">
        <v>0</v>
      </c>
      <c r="F49" s="30">
        <v>66.97</v>
      </c>
      <c r="G49" s="69">
        <v>0</v>
      </c>
      <c r="H49" s="32">
        <v>66.97</v>
      </c>
      <c r="I49" s="33">
        <v>0</v>
      </c>
      <c r="J49" s="34">
        <v>0</v>
      </c>
      <c r="K49" s="869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891"/>
      <c r="B50" s="91" t="s">
        <v>121</v>
      </c>
      <c r="C50" s="91"/>
      <c r="D50" s="59" t="s">
        <v>122</v>
      </c>
      <c r="E50" s="60">
        <f>E51</f>
        <v>0</v>
      </c>
      <c r="F50" s="60">
        <f t="shared" ref="F50:I50" si="22">F51</f>
        <v>96</v>
      </c>
      <c r="G50" s="61">
        <v>0</v>
      </c>
      <c r="H50" s="62">
        <f t="shared" si="22"/>
        <v>96</v>
      </c>
      <c r="I50" s="63">
        <f t="shared" si="22"/>
        <v>0</v>
      </c>
      <c r="J50" s="37">
        <v>0</v>
      </c>
      <c r="K50" s="870"/>
      <c r="L50" s="92"/>
      <c r="M50" s="92">
        <f>M51</f>
        <v>0</v>
      </c>
      <c r="N50" s="92">
        <f t="shared" ref="N50:AC50" si="23">N51</f>
        <v>0</v>
      </c>
      <c r="O50" s="92">
        <f t="shared" si="23"/>
        <v>0</v>
      </c>
      <c r="P50" s="92">
        <f t="shared" si="23"/>
        <v>0</v>
      </c>
      <c r="Q50" s="92">
        <f t="shared" si="23"/>
        <v>0</v>
      </c>
      <c r="R50" s="92">
        <f t="shared" si="23"/>
        <v>0</v>
      </c>
      <c r="S50" s="92">
        <f t="shared" si="23"/>
        <v>0</v>
      </c>
      <c r="T50" s="92">
        <f t="shared" si="23"/>
        <v>0</v>
      </c>
      <c r="U50" s="92">
        <f t="shared" si="23"/>
        <v>0</v>
      </c>
      <c r="V50" s="92">
        <f t="shared" si="23"/>
        <v>0</v>
      </c>
      <c r="W50" s="92">
        <f t="shared" si="23"/>
        <v>0</v>
      </c>
      <c r="X50" s="92">
        <f t="shared" si="23"/>
        <v>0</v>
      </c>
      <c r="Y50" s="92">
        <f t="shared" si="23"/>
        <v>0</v>
      </c>
      <c r="Z50" s="92">
        <f t="shared" si="23"/>
        <v>0</v>
      </c>
      <c r="AA50" s="92">
        <f t="shared" si="23"/>
        <v>0</v>
      </c>
      <c r="AB50" s="92">
        <f t="shared" si="23"/>
        <v>0</v>
      </c>
      <c r="AC50" s="92">
        <f t="shared" si="23"/>
        <v>0</v>
      </c>
    </row>
    <row r="51" spans="1:29" x14ac:dyDescent="0.2">
      <c r="A51" s="891"/>
      <c r="B51" s="93"/>
      <c r="C51" s="66" t="s">
        <v>54</v>
      </c>
      <c r="D51" s="67" t="s">
        <v>55</v>
      </c>
      <c r="E51" s="68">
        <v>0</v>
      </c>
      <c r="F51" s="30">
        <v>96</v>
      </c>
      <c r="G51" s="69">
        <v>0</v>
      </c>
      <c r="H51" s="32">
        <v>96</v>
      </c>
      <c r="I51" s="33">
        <v>0</v>
      </c>
      <c r="J51" s="34">
        <v>0</v>
      </c>
      <c r="K51" s="869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</row>
    <row r="52" spans="1:29" ht="22.5" x14ac:dyDescent="0.2">
      <c r="A52" s="885" t="s">
        <v>123</v>
      </c>
      <c r="B52" s="71"/>
      <c r="C52" s="71"/>
      <c r="D52" s="72" t="s">
        <v>124</v>
      </c>
      <c r="E52" s="73">
        <f>E53+E55</f>
        <v>71670</v>
      </c>
      <c r="F52" s="73">
        <f t="shared" ref="F52:AC52" si="24">F53+F55</f>
        <v>70794</v>
      </c>
      <c r="G52" s="74">
        <f t="shared" si="2"/>
        <v>0.98777731268313107</v>
      </c>
      <c r="H52" s="73">
        <f t="shared" si="24"/>
        <v>71670</v>
      </c>
      <c r="I52" s="75">
        <f t="shared" si="24"/>
        <v>3517</v>
      </c>
      <c r="J52" s="76">
        <f t="shared" si="4"/>
        <v>4.9072136179712574E-2</v>
      </c>
      <c r="K52" s="873">
        <f t="shared" si="3"/>
        <v>3517</v>
      </c>
      <c r="L52" s="77">
        <f t="shared" si="24"/>
        <v>3517</v>
      </c>
      <c r="M52" s="73">
        <f t="shared" si="24"/>
        <v>3517</v>
      </c>
      <c r="N52" s="73">
        <f t="shared" si="24"/>
        <v>0</v>
      </c>
      <c r="O52" s="73">
        <f t="shared" si="24"/>
        <v>0</v>
      </c>
      <c r="P52" s="73">
        <f t="shared" si="24"/>
        <v>0</v>
      </c>
      <c r="Q52" s="73">
        <f t="shared" si="24"/>
        <v>0</v>
      </c>
      <c r="R52" s="73">
        <f t="shared" si="24"/>
        <v>0</v>
      </c>
      <c r="S52" s="73">
        <f t="shared" si="24"/>
        <v>0</v>
      </c>
      <c r="T52" s="73">
        <f t="shared" si="24"/>
        <v>0</v>
      </c>
      <c r="U52" s="73">
        <f t="shared" si="24"/>
        <v>0</v>
      </c>
      <c r="V52" s="73">
        <f t="shared" si="24"/>
        <v>0</v>
      </c>
      <c r="W52" s="73">
        <f t="shared" si="24"/>
        <v>0</v>
      </c>
      <c r="X52" s="73">
        <f t="shared" si="24"/>
        <v>0</v>
      </c>
      <c r="Y52" s="73">
        <f t="shared" si="24"/>
        <v>0</v>
      </c>
      <c r="Z52" s="73">
        <f t="shared" si="24"/>
        <v>0</v>
      </c>
      <c r="AA52" s="73">
        <f t="shared" si="24"/>
        <v>0</v>
      </c>
      <c r="AB52" s="73">
        <f t="shared" si="24"/>
        <v>0</v>
      </c>
      <c r="AC52" s="78">
        <f t="shared" si="24"/>
        <v>0</v>
      </c>
    </row>
    <row r="53" spans="1:29" ht="22.5" x14ac:dyDescent="0.2">
      <c r="A53" s="887"/>
      <c r="B53" s="19" t="s">
        <v>125</v>
      </c>
      <c r="C53" s="20"/>
      <c r="D53" s="21" t="s">
        <v>126</v>
      </c>
      <c r="E53" s="22" t="str">
        <f>E54</f>
        <v>3 500,00</v>
      </c>
      <c r="F53" s="22">
        <f t="shared" ref="F53:AC53" si="25">F54</f>
        <v>2624</v>
      </c>
      <c r="G53" s="23">
        <f t="shared" si="2"/>
        <v>0.74971428571428567</v>
      </c>
      <c r="H53" s="22">
        <f t="shared" si="25"/>
        <v>3500</v>
      </c>
      <c r="I53" s="24">
        <f t="shared" si="25"/>
        <v>3517</v>
      </c>
      <c r="J53" s="37">
        <f t="shared" si="4"/>
        <v>1.0048571428571429</v>
      </c>
      <c r="K53" s="870">
        <f t="shared" si="3"/>
        <v>3517</v>
      </c>
      <c r="L53" s="38">
        <f t="shared" si="25"/>
        <v>3517</v>
      </c>
      <c r="M53" s="22">
        <f t="shared" si="25"/>
        <v>3517</v>
      </c>
      <c r="N53" s="22">
        <f t="shared" si="25"/>
        <v>0</v>
      </c>
      <c r="O53" s="22">
        <f t="shared" si="25"/>
        <v>0</v>
      </c>
      <c r="P53" s="22">
        <f t="shared" si="25"/>
        <v>0</v>
      </c>
      <c r="Q53" s="22">
        <f t="shared" si="25"/>
        <v>0</v>
      </c>
      <c r="R53" s="22">
        <f t="shared" si="25"/>
        <v>0</v>
      </c>
      <c r="S53" s="22">
        <f t="shared" si="25"/>
        <v>0</v>
      </c>
      <c r="T53" s="22">
        <f t="shared" si="25"/>
        <v>0</v>
      </c>
      <c r="U53" s="22">
        <f t="shared" si="25"/>
        <v>0</v>
      </c>
      <c r="V53" s="22">
        <f t="shared" si="25"/>
        <v>0</v>
      </c>
      <c r="W53" s="22">
        <f t="shared" si="25"/>
        <v>0</v>
      </c>
      <c r="X53" s="22">
        <f t="shared" si="25"/>
        <v>0</v>
      </c>
      <c r="Y53" s="22">
        <f t="shared" si="25"/>
        <v>0</v>
      </c>
      <c r="Z53" s="22">
        <f t="shared" si="25"/>
        <v>0</v>
      </c>
      <c r="AA53" s="22">
        <f t="shared" si="25"/>
        <v>0</v>
      </c>
      <c r="AB53" s="22">
        <f t="shared" si="25"/>
        <v>0</v>
      </c>
      <c r="AC53" s="25">
        <f t="shared" si="25"/>
        <v>0</v>
      </c>
    </row>
    <row r="54" spans="1:29" ht="45" x14ac:dyDescent="0.2">
      <c r="A54" s="889"/>
      <c r="B54" s="26"/>
      <c r="C54" s="27" t="s">
        <v>47</v>
      </c>
      <c r="D54" s="28" t="s">
        <v>48</v>
      </c>
      <c r="E54" s="29" t="s">
        <v>127</v>
      </c>
      <c r="F54" s="30">
        <v>2624</v>
      </c>
      <c r="G54" s="31">
        <f t="shared" si="2"/>
        <v>0.74971428571428567</v>
      </c>
      <c r="H54" s="32">
        <v>3500</v>
      </c>
      <c r="I54" s="33">
        <v>3517</v>
      </c>
      <c r="J54" s="34">
        <f t="shared" si="4"/>
        <v>1.0048571428571429</v>
      </c>
      <c r="K54" s="35">
        <f t="shared" si="3"/>
        <v>3517</v>
      </c>
      <c r="L54" s="30">
        <f>SUM(M54:Q54)</f>
        <v>3517</v>
      </c>
      <c r="M54" s="30">
        <v>3517</v>
      </c>
      <c r="N54" s="30"/>
      <c r="O54" s="30"/>
      <c r="P54" s="30"/>
      <c r="Q54" s="30"/>
      <c r="R54" s="30"/>
      <c r="S54" s="30">
        <f>SUM(T54:AC54)</f>
        <v>0</v>
      </c>
      <c r="T54" s="30"/>
      <c r="U54" s="30"/>
      <c r="V54" s="30"/>
      <c r="W54" s="30"/>
      <c r="X54" s="30"/>
      <c r="Y54" s="30"/>
      <c r="Z54" s="30"/>
      <c r="AA54" s="30"/>
      <c r="AB54" s="30"/>
      <c r="AC54" s="30"/>
    </row>
    <row r="55" spans="1:29" ht="33.75" x14ac:dyDescent="0.2">
      <c r="A55" s="887"/>
      <c r="B55" s="19" t="s">
        <v>128</v>
      </c>
      <c r="C55" s="20"/>
      <c r="D55" s="21" t="s">
        <v>129</v>
      </c>
      <c r="E55" s="22" t="str">
        <f>E56</f>
        <v>68 170,00</v>
      </c>
      <c r="F55" s="22">
        <f t="shared" ref="F55:AC55" si="26">F56</f>
        <v>68170</v>
      </c>
      <c r="G55" s="23">
        <f t="shared" si="2"/>
        <v>1</v>
      </c>
      <c r="H55" s="22">
        <f t="shared" si="26"/>
        <v>68170</v>
      </c>
      <c r="I55" s="24">
        <f t="shared" si="26"/>
        <v>0</v>
      </c>
      <c r="J55" s="37">
        <f t="shared" si="4"/>
        <v>0</v>
      </c>
      <c r="K55" s="870">
        <f t="shared" si="3"/>
        <v>0</v>
      </c>
      <c r="L55" s="38">
        <f t="shared" si="26"/>
        <v>0</v>
      </c>
      <c r="M55" s="22">
        <f t="shared" si="26"/>
        <v>0</v>
      </c>
      <c r="N55" s="22">
        <f t="shared" si="26"/>
        <v>0</v>
      </c>
      <c r="O55" s="22">
        <f t="shared" si="26"/>
        <v>0</v>
      </c>
      <c r="P55" s="22">
        <f t="shared" si="26"/>
        <v>0</v>
      </c>
      <c r="Q55" s="22">
        <f t="shared" si="26"/>
        <v>0</v>
      </c>
      <c r="R55" s="22">
        <f t="shared" si="26"/>
        <v>0</v>
      </c>
      <c r="S55" s="22">
        <f t="shared" si="26"/>
        <v>0</v>
      </c>
      <c r="T55" s="22">
        <f t="shared" si="26"/>
        <v>0</v>
      </c>
      <c r="U55" s="22">
        <f t="shared" si="26"/>
        <v>0</v>
      </c>
      <c r="V55" s="22">
        <f t="shared" si="26"/>
        <v>0</v>
      </c>
      <c r="W55" s="22">
        <f t="shared" si="26"/>
        <v>0</v>
      </c>
      <c r="X55" s="22">
        <f t="shared" si="26"/>
        <v>0</v>
      </c>
      <c r="Y55" s="22">
        <f t="shared" si="26"/>
        <v>0</v>
      </c>
      <c r="Z55" s="22">
        <f t="shared" si="26"/>
        <v>0</v>
      </c>
      <c r="AA55" s="22">
        <f t="shared" si="26"/>
        <v>0</v>
      </c>
      <c r="AB55" s="22">
        <f t="shared" si="26"/>
        <v>0</v>
      </c>
      <c r="AC55" s="25">
        <f t="shared" si="26"/>
        <v>0</v>
      </c>
    </row>
    <row r="56" spans="1:29" ht="45" x14ac:dyDescent="0.2">
      <c r="A56" s="889"/>
      <c r="B56" s="26"/>
      <c r="C56" s="27" t="s">
        <v>47</v>
      </c>
      <c r="D56" s="28" t="s">
        <v>48</v>
      </c>
      <c r="E56" s="29" t="s">
        <v>130</v>
      </c>
      <c r="F56" s="30">
        <v>68170</v>
      </c>
      <c r="G56" s="31">
        <f t="shared" si="2"/>
        <v>1</v>
      </c>
      <c r="H56" s="32">
        <v>68170</v>
      </c>
      <c r="I56" s="33">
        <v>0</v>
      </c>
      <c r="J56" s="34">
        <f t="shared" si="4"/>
        <v>0</v>
      </c>
      <c r="K56" s="35">
        <f t="shared" si="3"/>
        <v>0</v>
      </c>
      <c r="L56" s="30">
        <f>SUM(M56:Q56)</f>
        <v>0</v>
      </c>
      <c r="M56" s="30"/>
      <c r="N56" s="30"/>
      <c r="O56" s="30"/>
      <c r="P56" s="30">
        <v>0</v>
      </c>
      <c r="Q56" s="30"/>
      <c r="R56" s="30"/>
      <c r="S56" s="30">
        <f>SUM(T56:AC56)</f>
        <v>0</v>
      </c>
      <c r="T56" s="30"/>
      <c r="U56" s="30"/>
      <c r="V56" s="30"/>
      <c r="W56" s="30"/>
      <c r="X56" s="30"/>
      <c r="Y56" s="30"/>
      <c r="Z56" s="30"/>
      <c r="AA56" s="30"/>
      <c r="AB56" s="30"/>
      <c r="AC56" s="30"/>
    </row>
    <row r="57" spans="1:29" ht="22.5" x14ac:dyDescent="0.2">
      <c r="A57" s="885" t="s">
        <v>131</v>
      </c>
      <c r="B57" s="13"/>
      <c r="C57" s="13"/>
      <c r="D57" s="14" t="s">
        <v>132</v>
      </c>
      <c r="E57" s="15">
        <f>E58</f>
        <v>37396.36</v>
      </c>
      <c r="F57" s="15">
        <f t="shared" ref="F57:AC57" si="27">F58</f>
        <v>710.57</v>
      </c>
      <c r="G57" s="16">
        <f t="shared" si="2"/>
        <v>1.900104716073971E-2</v>
      </c>
      <c r="H57" s="15">
        <f t="shared" si="27"/>
        <v>37372.93</v>
      </c>
      <c r="I57" s="17">
        <f t="shared" si="27"/>
        <v>1000</v>
      </c>
      <c r="J57" s="80">
        <f t="shared" si="4"/>
        <v>2.6740570472634236E-2</v>
      </c>
      <c r="K57" s="878">
        <f t="shared" si="3"/>
        <v>1000</v>
      </c>
      <c r="L57" s="84">
        <f t="shared" si="27"/>
        <v>1000</v>
      </c>
      <c r="M57" s="15">
        <f t="shared" si="27"/>
        <v>0</v>
      </c>
      <c r="N57" s="15">
        <f t="shared" si="27"/>
        <v>0</v>
      </c>
      <c r="O57" s="15">
        <f t="shared" si="27"/>
        <v>0</v>
      </c>
      <c r="P57" s="15">
        <f t="shared" si="27"/>
        <v>1000</v>
      </c>
      <c r="Q57" s="15">
        <f t="shared" si="27"/>
        <v>0</v>
      </c>
      <c r="R57" s="15">
        <f t="shared" si="27"/>
        <v>0</v>
      </c>
      <c r="S57" s="15">
        <f t="shared" si="27"/>
        <v>0</v>
      </c>
      <c r="T57" s="15">
        <f t="shared" si="27"/>
        <v>0</v>
      </c>
      <c r="U57" s="15">
        <f t="shared" si="27"/>
        <v>0</v>
      </c>
      <c r="V57" s="15">
        <f t="shared" si="27"/>
        <v>0</v>
      </c>
      <c r="W57" s="15">
        <f t="shared" si="27"/>
        <v>0</v>
      </c>
      <c r="X57" s="15">
        <f t="shared" si="27"/>
        <v>0</v>
      </c>
      <c r="Y57" s="15">
        <f t="shared" si="27"/>
        <v>0</v>
      </c>
      <c r="Z57" s="15">
        <f t="shared" si="27"/>
        <v>0</v>
      </c>
      <c r="AA57" s="15">
        <f t="shared" si="27"/>
        <v>0</v>
      </c>
      <c r="AB57" s="15">
        <f t="shared" si="27"/>
        <v>0</v>
      </c>
      <c r="AC57" s="18">
        <f t="shared" si="27"/>
        <v>0</v>
      </c>
    </row>
    <row r="58" spans="1:29" ht="15" x14ac:dyDescent="0.2">
      <c r="A58" s="887"/>
      <c r="B58" s="19" t="s">
        <v>133</v>
      </c>
      <c r="C58" s="20"/>
      <c r="D58" s="21" t="s">
        <v>134</v>
      </c>
      <c r="E58" s="22">
        <f>E59+E60</f>
        <v>37396.36</v>
      </c>
      <c r="F58" s="22">
        <f t="shared" ref="F58:AC58" si="28">F59+F60</f>
        <v>710.57</v>
      </c>
      <c r="G58" s="23">
        <f t="shared" si="2"/>
        <v>1.900104716073971E-2</v>
      </c>
      <c r="H58" s="22">
        <f t="shared" si="28"/>
        <v>37372.93</v>
      </c>
      <c r="I58" s="24">
        <f t="shared" si="28"/>
        <v>1000</v>
      </c>
      <c r="J58" s="37">
        <f t="shared" si="4"/>
        <v>2.6740570472634236E-2</v>
      </c>
      <c r="K58" s="870">
        <f t="shared" si="3"/>
        <v>1000</v>
      </c>
      <c r="L58" s="38">
        <f t="shared" si="28"/>
        <v>1000</v>
      </c>
      <c r="M58" s="22">
        <f t="shared" si="28"/>
        <v>0</v>
      </c>
      <c r="N58" s="22">
        <f t="shared" si="28"/>
        <v>0</v>
      </c>
      <c r="O58" s="22">
        <f t="shared" si="28"/>
        <v>0</v>
      </c>
      <c r="P58" s="22">
        <f t="shared" si="28"/>
        <v>1000</v>
      </c>
      <c r="Q58" s="22">
        <f t="shared" si="28"/>
        <v>0</v>
      </c>
      <c r="R58" s="22">
        <f t="shared" si="28"/>
        <v>0</v>
      </c>
      <c r="S58" s="22">
        <f t="shared" si="28"/>
        <v>0</v>
      </c>
      <c r="T58" s="22">
        <f t="shared" si="28"/>
        <v>0</v>
      </c>
      <c r="U58" s="22">
        <f t="shared" si="28"/>
        <v>0</v>
      </c>
      <c r="V58" s="22">
        <f t="shared" si="28"/>
        <v>0</v>
      </c>
      <c r="W58" s="22">
        <f t="shared" si="28"/>
        <v>0</v>
      </c>
      <c r="X58" s="22">
        <f t="shared" si="28"/>
        <v>0</v>
      </c>
      <c r="Y58" s="22">
        <f t="shared" si="28"/>
        <v>0</v>
      </c>
      <c r="Z58" s="22">
        <f t="shared" si="28"/>
        <v>0</v>
      </c>
      <c r="AA58" s="22">
        <f t="shared" si="28"/>
        <v>0</v>
      </c>
      <c r="AB58" s="22">
        <f t="shared" si="28"/>
        <v>0</v>
      </c>
      <c r="AC58" s="25">
        <f t="shared" si="28"/>
        <v>0</v>
      </c>
    </row>
    <row r="59" spans="1:29" x14ac:dyDescent="0.2">
      <c r="A59" s="889"/>
      <c r="B59" s="26"/>
      <c r="C59" s="27" t="s">
        <v>99</v>
      </c>
      <c r="D59" s="28" t="s">
        <v>100</v>
      </c>
      <c r="E59" s="29" t="s">
        <v>113</v>
      </c>
      <c r="F59" s="30">
        <v>710.57</v>
      </c>
      <c r="G59" s="31">
        <f t="shared" si="2"/>
        <v>0.71057000000000003</v>
      </c>
      <c r="H59" s="32">
        <v>976.57</v>
      </c>
      <c r="I59" s="33">
        <v>1000</v>
      </c>
      <c r="J59" s="34">
        <f t="shared" si="4"/>
        <v>1</v>
      </c>
      <c r="K59" s="35">
        <f t="shared" si="3"/>
        <v>1000</v>
      </c>
      <c r="L59" s="30">
        <f>SUM(M59:Q59)</f>
        <v>1000</v>
      </c>
      <c r="M59" s="30"/>
      <c r="N59" s="30"/>
      <c r="O59" s="30"/>
      <c r="P59" s="30">
        <v>1000</v>
      </c>
      <c r="Q59" s="30"/>
      <c r="R59" s="30"/>
      <c r="S59" s="30">
        <f>SUM(T59:AC59)</f>
        <v>0</v>
      </c>
      <c r="T59" s="30"/>
      <c r="U59" s="30"/>
      <c r="V59" s="30"/>
      <c r="W59" s="30"/>
      <c r="X59" s="30"/>
      <c r="Y59" s="30"/>
      <c r="Z59" s="30"/>
      <c r="AA59" s="30"/>
      <c r="AB59" s="30"/>
      <c r="AC59" s="30"/>
    </row>
    <row r="60" spans="1:29" ht="33.75" x14ac:dyDescent="0.2">
      <c r="A60" s="889"/>
      <c r="B60" s="26"/>
      <c r="C60" s="27" t="s">
        <v>135</v>
      </c>
      <c r="D60" s="28" t="s">
        <v>136</v>
      </c>
      <c r="E60" s="29" t="s">
        <v>137</v>
      </c>
      <c r="F60" s="30">
        <v>0</v>
      </c>
      <c r="G60" s="31">
        <f t="shared" si="2"/>
        <v>0</v>
      </c>
      <c r="H60" s="32">
        <v>36396.36</v>
      </c>
      <c r="I60" s="33">
        <v>0</v>
      </c>
      <c r="J60" s="34">
        <f t="shared" si="4"/>
        <v>0</v>
      </c>
      <c r="K60" s="869">
        <f t="shared" si="3"/>
        <v>0</v>
      </c>
      <c r="L60" s="30">
        <f>SUM(M60:Q60)</f>
        <v>0</v>
      </c>
      <c r="M60" s="30"/>
      <c r="N60" s="30"/>
      <c r="O60" s="30"/>
      <c r="P60" s="30">
        <v>0</v>
      </c>
      <c r="Q60" s="30"/>
      <c r="R60" s="30"/>
      <c r="S60" s="30">
        <f>SUM(T60:AC60)</f>
        <v>0</v>
      </c>
      <c r="T60" s="30"/>
      <c r="U60" s="30"/>
      <c r="V60" s="30"/>
      <c r="W60" s="30"/>
      <c r="X60" s="30"/>
      <c r="Y60" s="30"/>
      <c r="Z60" s="30"/>
      <c r="AA60" s="30"/>
      <c r="AB60" s="30"/>
      <c r="AC60" s="30"/>
    </row>
    <row r="61" spans="1:29" ht="33.75" x14ac:dyDescent="0.2">
      <c r="A61" s="885" t="s">
        <v>138</v>
      </c>
      <c r="B61" s="13"/>
      <c r="C61" s="13"/>
      <c r="D61" s="14" t="s">
        <v>139</v>
      </c>
      <c r="E61" s="15">
        <f>E62+E65+E74+E85+E91</f>
        <v>24769958.199999999</v>
      </c>
      <c r="F61" s="15">
        <f t="shared" ref="F61:AC61" si="29">F62+F65+F74+F85+F91</f>
        <v>19043324.979999997</v>
      </c>
      <c r="G61" s="16">
        <f t="shared" si="2"/>
        <v>0.76880731191544749</v>
      </c>
      <c r="H61" s="15">
        <f t="shared" si="29"/>
        <v>25086697.200000003</v>
      </c>
      <c r="I61" s="17">
        <f t="shared" si="29"/>
        <v>26932500</v>
      </c>
      <c r="J61" s="80">
        <f t="shared" si="4"/>
        <v>1.0873050241966093</v>
      </c>
      <c r="K61" s="81">
        <f t="shared" si="3"/>
        <v>26932500</v>
      </c>
      <c r="L61" s="15">
        <f t="shared" si="29"/>
        <v>26932500</v>
      </c>
      <c r="M61" s="15">
        <f t="shared" si="29"/>
        <v>14631081</v>
      </c>
      <c r="N61" s="15">
        <f t="shared" si="29"/>
        <v>0</v>
      </c>
      <c r="O61" s="15">
        <f t="shared" si="29"/>
        <v>0</v>
      </c>
      <c r="P61" s="15">
        <f t="shared" si="29"/>
        <v>12301419</v>
      </c>
      <c r="Q61" s="15">
        <f t="shared" si="29"/>
        <v>0</v>
      </c>
      <c r="R61" s="15">
        <f t="shared" si="29"/>
        <v>0</v>
      </c>
      <c r="S61" s="15">
        <f t="shared" si="29"/>
        <v>0</v>
      </c>
      <c r="T61" s="15">
        <f t="shared" si="29"/>
        <v>0</v>
      </c>
      <c r="U61" s="15">
        <f t="shared" si="29"/>
        <v>0</v>
      </c>
      <c r="V61" s="15">
        <f t="shared" si="29"/>
        <v>0</v>
      </c>
      <c r="W61" s="15">
        <f t="shared" si="29"/>
        <v>0</v>
      </c>
      <c r="X61" s="15">
        <f t="shared" si="29"/>
        <v>0</v>
      </c>
      <c r="Y61" s="15">
        <f t="shared" si="29"/>
        <v>0</v>
      </c>
      <c r="Z61" s="15">
        <f t="shared" si="29"/>
        <v>0</v>
      </c>
      <c r="AA61" s="15">
        <f t="shared" si="29"/>
        <v>0</v>
      </c>
      <c r="AB61" s="15">
        <f t="shared" si="29"/>
        <v>0</v>
      </c>
      <c r="AC61" s="18">
        <f t="shared" si="29"/>
        <v>0</v>
      </c>
    </row>
    <row r="62" spans="1:29" ht="15" x14ac:dyDescent="0.2">
      <c r="A62" s="887"/>
      <c r="B62" s="19" t="s">
        <v>140</v>
      </c>
      <c r="C62" s="20"/>
      <c r="D62" s="21" t="s">
        <v>141</v>
      </c>
      <c r="E62" s="22">
        <f>E63+E64</f>
        <v>60000</v>
      </c>
      <c r="F62" s="22">
        <f>F63+F64</f>
        <v>31157.579999999998</v>
      </c>
      <c r="G62" s="23">
        <f t="shared" si="2"/>
        <v>0.519293</v>
      </c>
      <c r="H62" s="22">
        <f>H63+H64</f>
        <v>69019.06</v>
      </c>
      <c r="I62" s="24">
        <f>I63+I64</f>
        <v>60000</v>
      </c>
      <c r="J62" s="37">
        <f t="shared" si="4"/>
        <v>1</v>
      </c>
      <c r="K62" s="870">
        <f t="shared" si="3"/>
        <v>60000</v>
      </c>
      <c r="L62" s="38">
        <f>L63+L64</f>
        <v>60000</v>
      </c>
      <c r="M62" s="38">
        <f t="shared" ref="M62:AB62" si="30">M63+M64</f>
        <v>0</v>
      </c>
      <c r="N62" s="38">
        <f t="shared" si="30"/>
        <v>0</v>
      </c>
      <c r="O62" s="38">
        <f t="shared" si="30"/>
        <v>0</v>
      </c>
      <c r="P62" s="38">
        <f t="shared" si="30"/>
        <v>60000</v>
      </c>
      <c r="Q62" s="38">
        <f t="shared" si="30"/>
        <v>0</v>
      </c>
      <c r="R62" s="38">
        <f t="shared" si="30"/>
        <v>0</v>
      </c>
      <c r="S62" s="38">
        <f t="shared" si="30"/>
        <v>0</v>
      </c>
      <c r="T62" s="38">
        <f t="shared" si="30"/>
        <v>0</v>
      </c>
      <c r="U62" s="38">
        <f t="shared" si="30"/>
        <v>0</v>
      </c>
      <c r="V62" s="38">
        <f t="shared" si="30"/>
        <v>0</v>
      </c>
      <c r="W62" s="38">
        <f t="shared" si="30"/>
        <v>0</v>
      </c>
      <c r="X62" s="38">
        <f t="shared" si="30"/>
        <v>0</v>
      </c>
      <c r="Y62" s="38">
        <f t="shared" si="30"/>
        <v>0</v>
      </c>
      <c r="Z62" s="38">
        <f t="shared" si="30"/>
        <v>0</v>
      </c>
      <c r="AA62" s="38">
        <f t="shared" si="30"/>
        <v>0</v>
      </c>
      <c r="AB62" s="38">
        <f t="shared" si="30"/>
        <v>0</v>
      </c>
      <c r="AC62" s="25">
        <f t="shared" ref="AC62" si="31">AC63</f>
        <v>0</v>
      </c>
    </row>
    <row r="63" spans="1:29" ht="22.5" x14ac:dyDescent="0.2">
      <c r="A63" s="889"/>
      <c r="B63" s="26"/>
      <c r="C63" s="27" t="s">
        <v>142</v>
      </c>
      <c r="D63" s="28" t="s">
        <v>143</v>
      </c>
      <c r="E63" s="42" t="s">
        <v>144</v>
      </c>
      <c r="F63" s="43">
        <v>31107.89</v>
      </c>
      <c r="G63" s="44">
        <f t="shared" si="2"/>
        <v>0.51846483333333337</v>
      </c>
      <c r="H63" s="45">
        <v>68969.37</v>
      </c>
      <c r="I63" s="46">
        <v>60000</v>
      </c>
      <c r="J63" s="47">
        <f t="shared" si="4"/>
        <v>1</v>
      </c>
      <c r="K63" s="35">
        <f t="shared" si="3"/>
        <v>60000</v>
      </c>
      <c r="L63" s="43">
        <f>SUM(M63:Q63)</f>
        <v>60000</v>
      </c>
      <c r="M63" s="43"/>
      <c r="N63" s="43"/>
      <c r="O63" s="43"/>
      <c r="P63" s="43">
        <v>60000</v>
      </c>
      <c r="Q63" s="43"/>
      <c r="R63" s="43"/>
      <c r="S63" s="43">
        <f>SUM(T63:AC63)</f>
        <v>0</v>
      </c>
      <c r="T63" s="43"/>
      <c r="U63" s="43"/>
      <c r="V63" s="43"/>
      <c r="W63" s="43"/>
      <c r="X63" s="94"/>
      <c r="Y63" s="94"/>
      <c r="Z63" s="94"/>
      <c r="AA63" s="94"/>
      <c r="AB63" s="94"/>
      <c r="AC63" s="94"/>
    </row>
    <row r="64" spans="1:29" ht="22.5" x14ac:dyDescent="0.2">
      <c r="A64" s="889"/>
      <c r="B64" s="26"/>
      <c r="C64" s="39" t="s">
        <v>77</v>
      </c>
      <c r="D64" s="85" t="s">
        <v>78</v>
      </c>
      <c r="E64" s="68">
        <v>0</v>
      </c>
      <c r="F64" s="30">
        <v>49.69</v>
      </c>
      <c r="G64" s="44">
        <v>0</v>
      </c>
      <c r="H64" s="32">
        <v>49.69</v>
      </c>
      <c r="I64" s="33">
        <v>0</v>
      </c>
      <c r="J64" s="951">
        <v>0</v>
      </c>
      <c r="K64" s="869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95"/>
      <c r="Y64" s="95"/>
      <c r="Z64" s="95"/>
      <c r="AA64" s="95"/>
      <c r="AB64" s="95"/>
      <c r="AC64" s="95"/>
    </row>
    <row r="65" spans="1:29" ht="33.75" x14ac:dyDescent="0.2">
      <c r="A65" s="887"/>
      <c r="B65" s="19" t="s">
        <v>145</v>
      </c>
      <c r="C65" s="20"/>
      <c r="D65" s="21" t="s">
        <v>146</v>
      </c>
      <c r="E65" s="86">
        <f>E66+E67+E68+E69+E70+E72+E73+E71</f>
        <v>6680917.2000000002</v>
      </c>
      <c r="F65" s="86">
        <f>F66+F67+F68+F69+F70+F72+F73+F71</f>
        <v>5659155.8299999991</v>
      </c>
      <c r="G65" s="61">
        <f t="shared" si="2"/>
        <v>0.84706271019194779</v>
      </c>
      <c r="H65" s="90">
        <f>H66+H67+H68+H69+H70+H72+H73+H71</f>
        <v>7644857.5199999996</v>
      </c>
      <c r="I65" s="88">
        <f>I66+I67+I68+I69+I70+I72+I73+I71</f>
        <v>6600355</v>
      </c>
      <c r="J65" s="89">
        <f t="shared" si="4"/>
        <v>0.98794144612359514</v>
      </c>
      <c r="K65" s="877">
        <f t="shared" si="3"/>
        <v>6600355</v>
      </c>
      <c r="L65" s="90">
        <f>L66+L67+L68+L69+L70+L72+L73+L71</f>
        <v>6600355</v>
      </c>
      <c r="M65" s="90">
        <f t="shared" ref="M65:AC65" si="32">M66+M67+M68+M69+M70+M72+M73+M71</f>
        <v>0</v>
      </c>
      <c r="N65" s="90">
        <f t="shared" si="32"/>
        <v>0</v>
      </c>
      <c r="O65" s="90">
        <f t="shared" si="32"/>
        <v>0</v>
      </c>
      <c r="P65" s="90">
        <f t="shared" si="32"/>
        <v>6600355</v>
      </c>
      <c r="Q65" s="90">
        <f t="shared" si="32"/>
        <v>0</v>
      </c>
      <c r="R65" s="90">
        <f t="shared" si="32"/>
        <v>0</v>
      </c>
      <c r="S65" s="90">
        <f t="shared" si="32"/>
        <v>0</v>
      </c>
      <c r="T65" s="90">
        <f t="shared" si="32"/>
        <v>0</v>
      </c>
      <c r="U65" s="90">
        <f t="shared" si="32"/>
        <v>0</v>
      </c>
      <c r="V65" s="90">
        <f t="shared" si="32"/>
        <v>0</v>
      </c>
      <c r="W65" s="90">
        <f t="shared" si="32"/>
        <v>0</v>
      </c>
      <c r="X65" s="90">
        <f t="shared" si="32"/>
        <v>0</v>
      </c>
      <c r="Y65" s="90">
        <f t="shared" si="32"/>
        <v>0</v>
      </c>
      <c r="Z65" s="90">
        <f t="shared" si="32"/>
        <v>0</v>
      </c>
      <c r="AA65" s="90">
        <f t="shared" si="32"/>
        <v>0</v>
      </c>
      <c r="AB65" s="90">
        <f t="shared" si="32"/>
        <v>0</v>
      </c>
      <c r="AC65" s="90">
        <f t="shared" si="32"/>
        <v>0</v>
      </c>
    </row>
    <row r="66" spans="1:29" x14ac:dyDescent="0.2">
      <c r="A66" s="889"/>
      <c r="B66" s="26"/>
      <c r="C66" s="27" t="s">
        <v>147</v>
      </c>
      <c r="D66" s="28" t="s">
        <v>148</v>
      </c>
      <c r="E66" s="29" t="s">
        <v>149</v>
      </c>
      <c r="F66" s="30">
        <v>5144149.54</v>
      </c>
      <c r="G66" s="96">
        <f t="shared" si="2"/>
        <v>0.84836558150273766</v>
      </c>
      <c r="H66" s="32">
        <f>5145149.54+1668858.58</f>
        <v>6814008.1200000001</v>
      </c>
      <c r="I66" s="33">
        <v>6269360</v>
      </c>
      <c r="J66" s="34">
        <f t="shared" si="4"/>
        <v>1.0339336367834291</v>
      </c>
      <c r="K66" s="869">
        <f t="shared" si="3"/>
        <v>6269360</v>
      </c>
      <c r="L66" s="30">
        <v>6269360</v>
      </c>
      <c r="M66" s="95"/>
      <c r="N66" s="95"/>
      <c r="O66" s="95"/>
      <c r="P66" s="30">
        <v>6269360</v>
      </c>
      <c r="Q66" s="95"/>
      <c r="R66" s="95"/>
      <c r="S66" s="30">
        <f>SUM(T66:AC66)</f>
        <v>0</v>
      </c>
      <c r="T66" s="95"/>
      <c r="U66" s="95"/>
      <c r="V66" s="95"/>
      <c r="W66" s="95"/>
      <c r="X66" s="95"/>
      <c r="Y66" s="95"/>
      <c r="Z66" s="95"/>
      <c r="AA66" s="95"/>
      <c r="AB66" s="95"/>
      <c r="AC66" s="95"/>
    </row>
    <row r="67" spans="1:29" x14ac:dyDescent="0.2">
      <c r="A67" s="889"/>
      <c r="B67" s="26"/>
      <c r="C67" s="27" t="s">
        <v>150</v>
      </c>
      <c r="D67" s="28" t="s">
        <v>151</v>
      </c>
      <c r="E67" s="29" t="s">
        <v>152</v>
      </c>
      <c r="F67" s="30">
        <v>69221.89</v>
      </c>
      <c r="G67" s="31">
        <f t="shared" si="2"/>
        <v>0.80937608886290557</v>
      </c>
      <c r="H67" s="32">
        <v>85674</v>
      </c>
      <c r="I67" s="33">
        <v>86191</v>
      </c>
      <c r="J67" s="34">
        <f t="shared" si="4"/>
        <v>1.0077871967261034</v>
      </c>
      <c r="K67" s="869">
        <f t="shared" si="3"/>
        <v>86191</v>
      </c>
      <c r="L67" s="30">
        <f t="shared" ref="L67:L73" si="33">SUM(M67:Q67)</f>
        <v>86191</v>
      </c>
      <c r="M67" s="95"/>
      <c r="N67" s="95"/>
      <c r="O67" s="95"/>
      <c r="P67" s="30">
        <v>86191</v>
      </c>
      <c r="Q67" s="95"/>
      <c r="R67" s="95"/>
      <c r="S67" s="30">
        <f t="shared" ref="S67:S73" si="34">SUM(T67:AC67)</f>
        <v>0</v>
      </c>
      <c r="T67" s="95"/>
      <c r="U67" s="95"/>
      <c r="V67" s="95"/>
      <c r="W67" s="95"/>
      <c r="X67" s="95"/>
      <c r="Y67" s="95"/>
      <c r="Z67" s="95"/>
      <c r="AA67" s="95"/>
      <c r="AB67" s="95"/>
      <c r="AC67" s="95"/>
    </row>
    <row r="68" spans="1:29" x14ac:dyDescent="0.2">
      <c r="A68" s="889"/>
      <c r="B68" s="26"/>
      <c r="C68" s="27" t="s">
        <v>153</v>
      </c>
      <c r="D68" s="28" t="s">
        <v>154</v>
      </c>
      <c r="E68" s="29" t="s">
        <v>155</v>
      </c>
      <c r="F68" s="30">
        <v>123313</v>
      </c>
      <c r="G68" s="31">
        <f t="shared" si="2"/>
        <v>0.75073208447737383</v>
      </c>
      <c r="H68" s="32">
        <v>164008</v>
      </c>
      <c r="I68" s="33">
        <v>159801</v>
      </c>
      <c r="J68" s="34">
        <f t="shared" si="4"/>
        <v>0.97287178019810416</v>
      </c>
      <c r="K68" s="869">
        <f t="shared" si="3"/>
        <v>159801</v>
      </c>
      <c r="L68" s="30">
        <v>159801</v>
      </c>
      <c r="M68" s="95"/>
      <c r="N68" s="95"/>
      <c r="O68" s="95"/>
      <c r="P68" s="30">
        <v>159801</v>
      </c>
      <c r="Q68" s="95"/>
      <c r="R68" s="95"/>
      <c r="S68" s="30">
        <f t="shared" si="34"/>
        <v>0</v>
      </c>
      <c r="T68" s="95"/>
      <c r="U68" s="95"/>
      <c r="V68" s="95"/>
      <c r="W68" s="95"/>
      <c r="X68" s="95"/>
      <c r="Y68" s="95"/>
      <c r="Z68" s="95"/>
      <c r="AA68" s="95"/>
      <c r="AB68" s="95"/>
      <c r="AC68" s="95"/>
    </row>
    <row r="69" spans="1:29" x14ac:dyDescent="0.2">
      <c r="A69" s="889"/>
      <c r="B69" s="26"/>
      <c r="C69" s="27" t="s">
        <v>156</v>
      </c>
      <c r="D69" s="28" t="s">
        <v>157</v>
      </c>
      <c r="E69" s="29" t="s">
        <v>158</v>
      </c>
      <c r="F69" s="30">
        <v>44500.6</v>
      </c>
      <c r="G69" s="31">
        <f t="shared" si="2"/>
        <v>0.56371259912340699</v>
      </c>
      <c r="H69" s="32">
        <v>44500.6</v>
      </c>
      <c r="I69" s="33">
        <v>74217</v>
      </c>
      <c r="J69" s="34">
        <f t="shared" si="4"/>
        <v>0.94014592992323476</v>
      </c>
      <c r="K69" s="869">
        <f t="shared" si="3"/>
        <v>74217</v>
      </c>
      <c r="L69" s="30">
        <f t="shared" si="33"/>
        <v>74217</v>
      </c>
      <c r="M69" s="95"/>
      <c r="N69" s="95"/>
      <c r="O69" s="95"/>
      <c r="P69" s="30">
        <v>74217</v>
      </c>
      <c r="Q69" s="95"/>
      <c r="R69" s="95"/>
      <c r="S69" s="30">
        <f t="shared" si="34"/>
        <v>0</v>
      </c>
      <c r="T69" s="95"/>
      <c r="U69" s="95"/>
      <c r="V69" s="95"/>
      <c r="W69" s="95"/>
      <c r="X69" s="95"/>
      <c r="Y69" s="95"/>
      <c r="Z69" s="95"/>
      <c r="AA69" s="95"/>
      <c r="AB69" s="95"/>
      <c r="AC69" s="95"/>
    </row>
    <row r="70" spans="1:29" x14ac:dyDescent="0.2">
      <c r="A70" s="889"/>
      <c r="B70" s="26"/>
      <c r="C70" s="27" t="s">
        <v>159</v>
      </c>
      <c r="D70" s="28" t="s">
        <v>160</v>
      </c>
      <c r="E70" s="29" t="s">
        <v>161</v>
      </c>
      <c r="F70" s="30">
        <v>4684</v>
      </c>
      <c r="G70" s="31">
        <f t="shared" si="2"/>
        <v>0.78066666666666662</v>
      </c>
      <c r="H70" s="32">
        <v>6000</v>
      </c>
      <c r="I70" s="33">
        <v>6000</v>
      </c>
      <c r="J70" s="34">
        <f t="shared" si="4"/>
        <v>1</v>
      </c>
      <c r="K70" s="869">
        <f t="shared" si="3"/>
        <v>6000</v>
      </c>
      <c r="L70" s="30">
        <f t="shared" si="33"/>
        <v>6000</v>
      </c>
      <c r="M70" s="95"/>
      <c r="N70" s="95"/>
      <c r="O70" s="95"/>
      <c r="P70" s="30">
        <v>6000</v>
      </c>
      <c r="Q70" s="95"/>
      <c r="R70" s="95"/>
      <c r="S70" s="30">
        <f t="shared" si="34"/>
        <v>0</v>
      </c>
      <c r="T70" s="95"/>
      <c r="U70" s="95"/>
      <c r="V70" s="95"/>
      <c r="W70" s="95"/>
      <c r="X70" s="95"/>
      <c r="Y70" s="95"/>
      <c r="Z70" s="95"/>
      <c r="AA70" s="95"/>
      <c r="AB70" s="95"/>
      <c r="AC70" s="95"/>
    </row>
    <row r="71" spans="1:29" ht="22.5" x14ac:dyDescent="0.2">
      <c r="A71" s="889"/>
      <c r="B71" s="26"/>
      <c r="C71" s="39" t="s">
        <v>75</v>
      </c>
      <c r="D71" s="28" t="s">
        <v>76</v>
      </c>
      <c r="E71" s="29">
        <v>0</v>
      </c>
      <c r="F71" s="30">
        <v>701.1</v>
      </c>
      <c r="G71" s="31">
        <v>0</v>
      </c>
      <c r="H71" s="32">
        <v>701.1</v>
      </c>
      <c r="I71" s="33">
        <v>0</v>
      </c>
      <c r="J71" s="34">
        <v>0</v>
      </c>
      <c r="K71" s="869"/>
      <c r="L71" s="30"/>
      <c r="M71" s="95"/>
      <c r="N71" s="95"/>
      <c r="O71" s="95"/>
      <c r="P71" s="30"/>
      <c r="Q71" s="95"/>
      <c r="R71" s="95"/>
      <c r="S71" s="30"/>
      <c r="T71" s="95"/>
      <c r="U71" s="95"/>
      <c r="V71" s="95"/>
      <c r="W71" s="95"/>
      <c r="X71" s="95"/>
      <c r="Y71" s="95"/>
      <c r="Z71" s="95"/>
      <c r="AA71" s="95"/>
      <c r="AB71" s="95"/>
      <c r="AC71" s="95"/>
    </row>
    <row r="72" spans="1:29" ht="22.5" x14ac:dyDescent="0.2">
      <c r="A72" s="889"/>
      <c r="B72" s="26"/>
      <c r="C72" s="27" t="s">
        <v>77</v>
      </c>
      <c r="D72" s="28" t="s">
        <v>78</v>
      </c>
      <c r="E72" s="29" t="s">
        <v>162</v>
      </c>
      <c r="F72" s="30">
        <v>12247.7</v>
      </c>
      <c r="G72" s="31">
        <f t="shared" si="2"/>
        <v>4.7230063242326086</v>
      </c>
      <c r="H72" s="32">
        <v>12247.7</v>
      </c>
      <c r="I72" s="33">
        <v>3000</v>
      </c>
      <c r="J72" s="34">
        <f t="shared" si="4"/>
        <v>1.1568718186024989</v>
      </c>
      <c r="K72" s="869">
        <f t="shared" si="3"/>
        <v>3000</v>
      </c>
      <c r="L72" s="30">
        <f t="shared" si="33"/>
        <v>3000</v>
      </c>
      <c r="M72" s="95"/>
      <c r="N72" s="95"/>
      <c r="O72" s="95"/>
      <c r="P72" s="30">
        <v>3000</v>
      </c>
      <c r="Q72" s="95"/>
      <c r="R72" s="95"/>
      <c r="S72" s="30">
        <f t="shared" si="34"/>
        <v>0</v>
      </c>
      <c r="T72" s="95"/>
      <c r="U72" s="95"/>
      <c r="V72" s="95"/>
      <c r="W72" s="95"/>
      <c r="X72" s="95"/>
      <c r="Y72" s="95"/>
      <c r="Z72" s="95"/>
      <c r="AA72" s="95"/>
      <c r="AB72" s="95"/>
      <c r="AC72" s="95"/>
    </row>
    <row r="73" spans="1:29" ht="22.5" x14ac:dyDescent="0.2">
      <c r="A73" s="889"/>
      <c r="B73" s="26"/>
      <c r="C73" s="27" t="s">
        <v>163</v>
      </c>
      <c r="D73" s="28" t="s">
        <v>164</v>
      </c>
      <c r="E73" s="29" t="s">
        <v>165</v>
      </c>
      <c r="F73" s="30">
        <v>260338</v>
      </c>
      <c r="G73" s="31">
        <f t="shared" si="2"/>
        <v>0.92977857142857145</v>
      </c>
      <c r="H73" s="32">
        <f>260338+257380</f>
        <v>517718</v>
      </c>
      <c r="I73" s="33">
        <v>1786</v>
      </c>
      <c r="J73" s="34">
        <f t="shared" si="4"/>
        <v>6.3785714285714288E-3</v>
      </c>
      <c r="K73" s="35">
        <f t="shared" si="3"/>
        <v>1786</v>
      </c>
      <c r="L73" s="30">
        <f t="shared" si="33"/>
        <v>1786</v>
      </c>
      <c r="M73" s="95"/>
      <c r="N73" s="95"/>
      <c r="O73" s="95"/>
      <c r="P73" s="30">
        <v>1786</v>
      </c>
      <c r="Q73" s="95"/>
      <c r="R73" s="95"/>
      <c r="S73" s="30">
        <f t="shared" si="34"/>
        <v>0</v>
      </c>
      <c r="T73" s="95"/>
      <c r="U73" s="95"/>
      <c r="V73" s="95"/>
      <c r="W73" s="95"/>
      <c r="X73" s="95"/>
      <c r="Y73" s="95"/>
      <c r="Z73" s="95"/>
      <c r="AA73" s="95"/>
      <c r="AB73" s="95"/>
      <c r="AC73" s="95"/>
    </row>
    <row r="74" spans="1:29" ht="45" x14ac:dyDescent="0.2">
      <c r="A74" s="887"/>
      <c r="B74" s="19" t="s">
        <v>166</v>
      </c>
      <c r="C74" s="20"/>
      <c r="D74" s="21" t="s">
        <v>167</v>
      </c>
      <c r="E74" s="22">
        <f>E75+E76+E77+E78+E79+E80+E81+E82+E83+E84</f>
        <v>4748758</v>
      </c>
      <c r="F74" s="22">
        <f>F75+F76+F77+F78+F79+F80+F81+F82+F83+F84</f>
        <v>3498329.9599999995</v>
      </c>
      <c r="G74" s="23">
        <f t="shared" si="2"/>
        <v>0.73668314114974898</v>
      </c>
      <c r="H74" s="22">
        <f>H75+H76+H77+H78+H79+H80+H81+H82+H83+H84</f>
        <v>4266259.58</v>
      </c>
      <c r="I74" s="24">
        <f>I75+I76+I77+I78+I79+I80+I81+I82+I83+I84</f>
        <v>5245064</v>
      </c>
      <c r="J74" s="37">
        <f t="shared" si="4"/>
        <v>1.1045128010313434</v>
      </c>
      <c r="K74" s="870">
        <f t="shared" si="3"/>
        <v>5245064</v>
      </c>
      <c r="L74" s="38">
        <f t="shared" ref="L74:AC74" si="35">L75+L76+L77+L78+L79+L80+L81+L82+L83+L84</f>
        <v>5245064</v>
      </c>
      <c r="M74" s="22">
        <f t="shared" si="35"/>
        <v>0</v>
      </c>
      <c r="N74" s="22">
        <f t="shared" si="35"/>
        <v>0</v>
      </c>
      <c r="O74" s="22">
        <f t="shared" si="35"/>
        <v>0</v>
      </c>
      <c r="P74" s="22">
        <f t="shared" si="35"/>
        <v>5245064</v>
      </c>
      <c r="Q74" s="22">
        <f t="shared" si="35"/>
        <v>0</v>
      </c>
      <c r="R74" s="22">
        <f t="shared" si="35"/>
        <v>0</v>
      </c>
      <c r="S74" s="22">
        <f t="shared" si="35"/>
        <v>0</v>
      </c>
      <c r="T74" s="22">
        <f t="shared" si="35"/>
        <v>0</v>
      </c>
      <c r="U74" s="22">
        <f t="shared" si="35"/>
        <v>0</v>
      </c>
      <c r="V74" s="22">
        <f t="shared" si="35"/>
        <v>0</v>
      </c>
      <c r="W74" s="22">
        <f t="shared" si="35"/>
        <v>0</v>
      </c>
      <c r="X74" s="22">
        <f t="shared" si="35"/>
        <v>0</v>
      </c>
      <c r="Y74" s="22">
        <f t="shared" si="35"/>
        <v>0</v>
      </c>
      <c r="Z74" s="22">
        <f t="shared" si="35"/>
        <v>0</v>
      </c>
      <c r="AA74" s="22">
        <f t="shared" si="35"/>
        <v>0</v>
      </c>
      <c r="AB74" s="22">
        <f t="shared" si="35"/>
        <v>0</v>
      </c>
      <c r="AC74" s="25">
        <f t="shared" si="35"/>
        <v>0</v>
      </c>
    </row>
    <row r="75" spans="1:29" x14ac:dyDescent="0.2">
      <c r="A75" s="889"/>
      <c r="B75" s="26"/>
      <c r="C75" s="27" t="s">
        <v>147</v>
      </c>
      <c r="D75" s="28" t="s">
        <v>148</v>
      </c>
      <c r="E75" s="29" t="s">
        <v>168</v>
      </c>
      <c r="F75" s="30">
        <v>2180361.09</v>
      </c>
      <c r="G75" s="31">
        <f t="shared" si="2"/>
        <v>0.70794047466366217</v>
      </c>
      <c r="H75" s="32">
        <v>2737498.15</v>
      </c>
      <c r="I75" s="33">
        <f>2850012+200000</f>
        <v>3050012</v>
      </c>
      <c r="J75" s="34">
        <f t="shared" si="4"/>
        <v>0.99030704267881875</v>
      </c>
      <c r="K75" s="869">
        <f t="shared" si="3"/>
        <v>3050012</v>
      </c>
      <c r="L75" s="30">
        <f>2850012+200000</f>
        <v>3050012</v>
      </c>
      <c r="M75" s="95"/>
      <c r="N75" s="95"/>
      <c r="O75" s="95"/>
      <c r="P75" s="30">
        <v>3050012</v>
      </c>
      <c r="Q75" s="95"/>
      <c r="R75" s="95"/>
      <c r="S75" s="30">
        <f>SUM(T75:AC75)</f>
        <v>0</v>
      </c>
      <c r="T75" s="95"/>
      <c r="U75" s="95"/>
      <c r="V75" s="95"/>
      <c r="W75" s="95"/>
      <c r="X75" s="95"/>
      <c r="Y75" s="95"/>
      <c r="Z75" s="95"/>
      <c r="AA75" s="95"/>
      <c r="AB75" s="95"/>
      <c r="AC75" s="95"/>
    </row>
    <row r="76" spans="1:29" x14ac:dyDescent="0.2">
      <c r="A76" s="889"/>
      <c r="B76" s="26"/>
      <c r="C76" s="27" t="s">
        <v>150</v>
      </c>
      <c r="D76" s="28" t="s">
        <v>151</v>
      </c>
      <c r="E76" s="29" t="s">
        <v>169</v>
      </c>
      <c r="F76" s="30">
        <v>461062.01</v>
      </c>
      <c r="G76" s="31">
        <f t="shared" si="2"/>
        <v>0.67913096185005162</v>
      </c>
      <c r="H76" s="32">
        <v>604838.01</v>
      </c>
      <c r="I76" s="33">
        <v>707155</v>
      </c>
      <c r="J76" s="34">
        <f t="shared" si="4"/>
        <v>1.0416187951097364</v>
      </c>
      <c r="K76" s="869">
        <f t="shared" si="3"/>
        <v>707155</v>
      </c>
      <c r="L76" s="30">
        <f t="shared" ref="L76:L84" si="36">SUM(M76:Q76)</f>
        <v>707155</v>
      </c>
      <c r="M76" s="95"/>
      <c r="N76" s="95"/>
      <c r="O76" s="95"/>
      <c r="P76" s="30">
        <v>707155</v>
      </c>
      <c r="Q76" s="95"/>
      <c r="R76" s="95"/>
      <c r="S76" s="30">
        <f t="shared" ref="S76:S84" si="37">SUM(T76:AC76)</f>
        <v>0</v>
      </c>
      <c r="T76" s="95"/>
      <c r="U76" s="95"/>
      <c r="V76" s="95"/>
      <c r="W76" s="95"/>
      <c r="X76" s="95"/>
      <c r="Y76" s="95"/>
      <c r="Z76" s="95"/>
      <c r="AA76" s="95"/>
      <c r="AB76" s="95"/>
      <c r="AC76" s="95"/>
    </row>
    <row r="77" spans="1:29" x14ac:dyDescent="0.2">
      <c r="A77" s="889"/>
      <c r="B77" s="26"/>
      <c r="C77" s="27" t="s">
        <v>153</v>
      </c>
      <c r="D77" s="28" t="s">
        <v>154</v>
      </c>
      <c r="E77" s="29" t="s">
        <v>170</v>
      </c>
      <c r="F77" s="30">
        <v>6695</v>
      </c>
      <c r="G77" s="31">
        <f t="shared" si="2"/>
        <v>0.73928886925795056</v>
      </c>
      <c r="H77" s="32">
        <v>8283</v>
      </c>
      <c r="I77" s="33">
        <v>8867</v>
      </c>
      <c r="J77" s="34">
        <f t="shared" si="4"/>
        <v>0.97912985865724378</v>
      </c>
      <c r="K77" s="869">
        <f t="shared" si="3"/>
        <v>8867</v>
      </c>
      <c r="L77" s="30">
        <v>8867</v>
      </c>
      <c r="M77" s="95"/>
      <c r="N77" s="95"/>
      <c r="O77" s="95"/>
      <c r="P77" s="30">
        <v>8867</v>
      </c>
      <c r="Q77" s="95"/>
      <c r="R77" s="95"/>
      <c r="S77" s="30">
        <f t="shared" si="37"/>
        <v>0</v>
      </c>
      <c r="T77" s="95"/>
      <c r="U77" s="95"/>
      <c r="V77" s="95"/>
      <c r="W77" s="95"/>
      <c r="X77" s="95"/>
      <c r="Y77" s="95"/>
      <c r="Z77" s="95"/>
      <c r="AA77" s="95"/>
      <c r="AB77" s="95"/>
      <c r="AC77" s="95"/>
    </row>
    <row r="78" spans="1:29" x14ac:dyDescent="0.2">
      <c r="A78" s="889"/>
      <c r="B78" s="26"/>
      <c r="C78" s="27" t="s">
        <v>156</v>
      </c>
      <c r="D78" s="28" t="s">
        <v>157</v>
      </c>
      <c r="E78" s="29" t="s">
        <v>171</v>
      </c>
      <c r="F78" s="30">
        <v>250652.27</v>
      </c>
      <c r="G78" s="31">
        <f t="shared" si="2"/>
        <v>0.6775539348591787</v>
      </c>
      <c r="H78" s="32">
        <v>280652.27</v>
      </c>
      <c r="I78" s="33">
        <v>338271</v>
      </c>
      <c r="J78" s="34">
        <f t="shared" si="4"/>
        <v>0.91440164136055602</v>
      </c>
      <c r="K78" s="869">
        <f t="shared" si="3"/>
        <v>338271</v>
      </c>
      <c r="L78" s="30">
        <f t="shared" si="36"/>
        <v>338271</v>
      </c>
      <c r="M78" s="95"/>
      <c r="N78" s="95"/>
      <c r="O78" s="95"/>
      <c r="P78" s="30">
        <v>338271</v>
      </c>
      <c r="Q78" s="95"/>
      <c r="R78" s="95"/>
      <c r="S78" s="30">
        <f t="shared" si="37"/>
        <v>0</v>
      </c>
      <c r="T78" s="95"/>
      <c r="U78" s="95"/>
      <c r="V78" s="95"/>
      <c r="W78" s="95"/>
      <c r="X78" s="95"/>
      <c r="Y78" s="95"/>
      <c r="Z78" s="95"/>
      <c r="AA78" s="95"/>
      <c r="AB78" s="95"/>
      <c r="AC78" s="95"/>
    </row>
    <row r="79" spans="1:29" x14ac:dyDescent="0.2">
      <c r="A79" s="889"/>
      <c r="B79" s="26"/>
      <c r="C79" s="27" t="s">
        <v>172</v>
      </c>
      <c r="D79" s="28" t="s">
        <v>173</v>
      </c>
      <c r="E79" s="29" t="s">
        <v>174</v>
      </c>
      <c r="F79" s="30">
        <v>41790.79</v>
      </c>
      <c r="G79" s="31">
        <f t="shared" si="2"/>
        <v>1.3930263333333333</v>
      </c>
      <c r="H79" s="32">
        <v>44406.15</v>
      </c>
      <c r="I79" s="33">
        <v>45000</v>
      </c>
      <c r="J79" s="34">
        <f t="shared" si="4"/>
        <v>1.5</v>
      </c>
      <c r="K79" s="869">
        <f t="shared" si="3"/>
        <v>45000</v>
      </c>
      <c r="L79" s="30">
        <f>SUM(M79:Q79)</f>
        <v>45000</v>
      </c>
      <c r="M79" s="95"/>
      <c r="N79" s="95"/>
      <c r="O79" s="95"/>
      <c r="P79" s="30">
        <v>45000</v>
      </c>
      <c r="Q79" s="95"/>
      <c r="R79" s="95"/>
      <c r="S79" s="30">
        <f t="shared" si="37"/>
        <v>0</v>
      </c>
      <c r="T79" s="95"/>
      <c r="U79" s="95"/>
      <c r="V79" s="95"/>
      <c r="W79" s="95"/>
      <c r="X79" s="95"/>
      <c r="Y79" s="95"/>
      <c r="Z79" s="95"/>
      <c r="AA79" s="95"/>
      <c r="AB79" s="95"/>
      <c r="AC79" s="95"/>
    </row>
    <row r="80" spans="1:29" x14ac:dyDescent="0.2">
      <c r="A80" s="889"/>
      <c r="B80" s="26"/>
      <c r="C80" s="27" t="s">
        <v>175</v>
      </c>
      <c r="D80" s="28" t="s">
        <v>176</v>
      </c>
      <c r="E80" s="29" t="s">
        <v>44</v>
      </c>
      <c r="F80" s="30">
        <v>44686.5</v>
      </c>
      <c r="G80" s="31">
        <f t="shared" si="2"/>
        <v>0.89373000000000002</v>
      </c>
      <c r="H80" s="32">
        <v>59582</v>
      </c>
      <c r="I80" s="33">
        <v>50000</v>
      </c>
      <c r="J80" s="34">
        <f t="shared" si="4"/>
        <v>1</v>
      </c>
      <c r="K80" s="869">
        <f t="shared" si="3"/>
        <v>50000</v>
      </c>
      <c r="L80" s="30">
        <f t="shared" si="36"/>
        <v>50000</v>
      </c>
      <c r="M80" s="95"/>
      <c r="N80" s="95"/>
      <c r="O80" s="95"/>
      <c r="P80" s="30">
        <v>50000</v>
      </c>
      <c r="Q80" s="95"/>
      <c r="R80" s="95"/>
      <c r="S80" s="30">
        <f t="shared" si="37"/>
        <v>0</v>
      </c>
      <c r="T80" s="95"/>
      <c r="U80" s="95"/>
      <c r="V80" s="95"/>
      <c r="W80" s="95"/>
      <c r="X80" s="95"/>
      <c r="Y80" s="95"/>
      <c r="Z80" s="95"/>
      <c r="AA80" s="95"/>
      <c r="AB80" s="95"/>
      <c r="AC80" s="95"/>
    </row>
    <row r="81" spans="1:29" x14ac:dyDescent="0.2">
      <c r="A81" s="889"/>
      <c r="B81" s="26"/>
      <c r="C81" s="27" t="s">
        <v>159</v>
      </c>
      <c r="D81" s="28" t="s">
        <v>160</v>
      </c>
      <c r="E81" s="29" t="s">
        <v>177</v>
      </c>
      <c r="F81" s="30">
        <v>486308.8</v>
      </c>
      <c r="G81" s="31">
        <f t="shared" si="2"/>
        <v>0.97261759999999997</v>
      </c>
      <c r="H81" s="32">
        <v>500000</v>
      </c>
      <c r="I81" s="33">
        <v>500000</v>
      </c>
      <c r="J81" s="34">
        <f t="shared" si="4"/>
        <v>1</v>
      </c>
      <c r="K81" s="869">
        <f t="shared" si="3"/>
        <v>500000</v>
      </c>
      <c r="L81" s="30">
        <f t="shared" si="36"/>
        <v>500000</v>
      </c>
      <c r="M81" s="95"/>
      <c r="N81" s="95"/>
      <c r="O81" s="95"/>
      <c r="P81" s="30">
        <v>500000</v>
      </c>
      <c r="Q81" s="95"/>
      <c r="R81" s="95"/>
      <c r="S81" s="30">
        <f t="shared" si="37"/>
        <v>0</v>
      </c>
      <c r="T81" s="95"/>
      <c r="U81" s="95"/>
      <c r="V81" s="95"/>
      <c r="W81" s="95"/>
      <c r="X81" s="95"/>
      <c r="Y81" s="95"/>
      <c r="Z81" s="95"/>
      <c r="AA81" s="95"/>
      <c r="AB81" s="95"/>
      <c r="AC81" s="95"/>
    </row>
    <row r="82" spans="1:29" ht="22.5" x14ac:dyDescent="0.2">
      <c r="A82" s="889"/>
      <c r="B82" s="26"/>
      <c r="C82" s="27" t="s">
        <v>75</v>
      </c>
      <c r="D82" s="28" t="s">
        <v>76</v>
      </c>
      <c r="E82" s="29" t="s">
        <v>178</v>
      </c>
      <c r="F82" s="30">
        <v>10339.86</v>
      </c>
      <c r="G82" s="31">
        <f t="shared" si="2"/>
        <v>0.93998727272727278</v>
      </c>
      <c r="H82" s="32">
        <v>11000</v>
      </c>
      <c r="I82" s="33">
        <v>11000</v>
      </c>
      <c r="J82" s="34">
        <f t="shared" si="4"/>
        <v>1</v>
      </c>
      <c r="K82" s="869">
        <f t="shared" si="3"/>
        <v>11000</v>
      </c>
      <c r="L82" s="30">
        <f t="shared" si="36"/>
        <v>11000</v>
      </c>
      <c r="M82" s="95"/>
      <c r="N82" s="95"/>
      <c r="O82" s="95"/>
      <c r="P82" s="30">
        <v>11000</v>
      </c>
      <c r="Q82" s="95"/>
      <c r="R82" s="95"/>
      <c r="S82" s="30">
        <f t="shared" si="37"/>
        <v>0</v>
      </c>
      <c r="T82" s="95"/>
      <c r="U82" s="95"/>
      <c r="V82" s="95"/>
      <c r="W82" s="95"/>
      <c r="X82" s="95"/>
      <c r="Y82" s="95"/>
      <c r="Z82" s="95"/>
      <c r="AA82" s="95"/>
      <c r="AB82" s="95"/>
      <c r="AC82" s="95"/>
    </row>
    <row r="83" spans="1:29" ht="22.5" x14ac:dyDescent="0.2">
      <c r="A83" s="889"/>
      <c r="B83" s="26"/>
      <c r="C83" s="27" t="s">
        <v>77</v>
      </c>
      <c r="D83" s="28" t="s">
        <v>78</v>
      </c>
      <c r="E83" s="29" t="s">
        <v>36</v>
      </c>
      <c r="F83" s="30">
        <v>16433.64</v>
      </c>
      <c r="G83" s="31">
        <f t="shared" si="2"/>
        <v>0.82168200000000002</v>
      </c>
      <c r="H83" s="32">
        <v>20000</v>
      </c>
      <c r="I83" s="33">
        <v>20000</v>
      </c>
      <c r="J83" s="34">
        <f t="shared" si="4"/>
        <v>1</v>
      </c>
      <c r="K83" s="869">
        <f t="shared" si="3"/>
        <v>20000</v>
      </c>
      <c r="L83" s="30">
        <f t="shared" si="36"/>
        <v>20000</v>
      </c>
      <c r="M83" s="95"/>
      <c r="N83" s="95"/>
      <c r="O83" s="95"/>
      <c r="P83" s="30">
        <v>20000</v>
      </c>
      <c r="Q83" s="95"/>
      <c r="R83" s="95"/>
      <c r="S83" s="30">
        <f t="shared" si="37"/>
        <v>0</v>
      </c>
      <c r="T83" s="95"/>
      <c r="U83" s="95"/>
      <c r="V83" s="95"/>
      <c r="W83" s="95"/>
      <c r="X83" s="95"/>
      <c r="Y83" s="95"/>
      <c r="Z83" s="95"/>
      <c r="AA83" s="95"/>
      <c r="AB83" s="95"/>
      <c r="AC83" s="95"/>
    </row>
    <row r="84" spans="1:29" ht="22.5" x14ac:dyDescent="0.2">
      <c r="A84" s="889"/>
      <c r="B84" s="26"/>
      <c r="C84" s="27" t="s">
        <v>163</v>
      </c>
      <c r="D84" s="28" t="s">
        <v>164</v>
      </c>
      <c r="E84" s="29">
        <v>0</v>
      </c>
      <c r="F84" s="30">
        <v>0</v>
      </c>
      <c r="G84" s="31">
        <v>0</v>
      </c>
      <c r="H84" s="32">
        <v>0</v>
      </c>
      <c r="I84" s="33">
        <v>514759</v>
      </c>
      <c r="J84" s="34">
        <v>0</v>
      </c>
      <c r="K84" s="869">
        <f t="shared" si="3"/>
        <v>514759</v>
      </c>
      <c r="L84" s="30">
        <f t="shared" si="36"/>
        <v>514759</v>
      </c>
      <c r="M84" s="95"/>
      <c r="N84" s="95"/>
      <c r="O84" s="95"/>
      <c r="P84" s="30">
        <v>514759</v>
      </c>
      <c r="Q84" s="95"/>
      <c r="R84" s="95"/>
      <c r="S84" s="30">
        <f t="shared" si="37"/>
        <v>0</v>
      </c>
      <c r="T84" s="95"/>
      <c r="U84" s="95"/>
      <c r="V84" s="95"/>
      <c r="W84" s="95"/>
      <c r="X84" s="95"/>
      <c r="Y84" s="95"/>
      <c r="Z84" s="95"/>
      <c r="AA84" s="95"/>
      <c r="AB84" s="95"/>
      <c r="AC84" s="95"/>
    </row>
    <row r="85" spans="1:29" ht="22.5" x14ac:dyDescent="0.2">
      <c r="A85" s="887"/>
      <c r="B85" s="19" t="s">
        <v>179</v>
      </c>
      <c r="C85" s="20"/>
      <c r="D85" s="21" t="s">
        <v>180</v>
      </c>
      <c r="E85" s="22">
        <f>E86+E87+E88+E89+E90</f>
        <v>393000</v>
      </c>
      <c r="F85" s="22">
        <f>F86+F87+F88+F89+F90</f>
        <v>393371.32</v>
      </c>
      <c r="G85" s="23">
        <f t="shared" si="2"/>
        <v>1.000944834605598</v>
      </c>
      <c r="H85" s="22">
        <f>H86+H87+H88+H89+H90</f>
        <v>398684.32</v>
      </c>
      <c r="I85" s="24">
        <f>I86+I87+I88+I89+I90</f>
        <v>396000</v>
      </c>
      <c r="J85" s="37">
        <f t="shared" si="4"/>
        <v>1.0076335877862594</v>
      </c>
      <c r="K85" s="870">
        <f t="shared" si="3"/>
        <v>396000</v>
      </c>
      <c r="L85" s="38">
        <f>L86+L87+L88+L89+L90</f>
        <v>396000</v>
      </c>
      <c r="M85" s="38">
        <f t="shared" ref="M85:AC85" si="38">M86+M87+M88+M89+M90</f>
        <v>0</v>
      </c>
      <c r="N85" s="38">
        <f t="shared" si="38"/>
        <v>0</v>
      </c>
      <c r="O85" s="38">
        <f t="shared" si="38"/>
        <v>0</v>
      </c>
      <c r="P85" s="38">
        <f t="shared" si="38"/>
        <v>396000</v>
      </c>
      <c r="Q85" s="38">
        <f t="shared" si="38"/>
        <v>0</v>
      </c>
      <c r="R85" s="38">
        <f t="shared" si="38"/>
        <v>0</v>
      </c>
      <c r="S85" s="38">
        <f t="shared" si="38"/>
        <v>0</v>
      </c>
      <c r="T85" s="38">
        <f t="shared" si="38"/>
        <v>0</v>
      </c>
      <c r="U85" s="38">
        <f t="shared" si="38"/>
        <v>0</v>
      </c>
      <c r="V85" s="38">
        <f t="shared" si="38"/>
        <v>0</v>
      </c>
      <c r="W85" s="38">
        <f t="shared" si="38"/>
        <v>0</v>
      </c>
      <c r="X85" s="38">
        <f t="shared" si="38"/>
        <v>0</v>
      </c>
      <c r="Y85" s="38">
        <f t="shared" si="38"/>
        <v>0</v>
      </c>
      <c r="Z85" s="38">
        <f t="shared" si="38"/>
        <v>0</v>
      </c>
      <c r="AA85" s="38">
        <f t="shared" si="38"/>
        <v>0</v>
      </c>
      <c r="AB85" s="38">
        <f t="shared" si="38"/>
        <v>0</v>
      </c>
      <c r="AC85" s="38">
        <f t="shared" si="38"/>
        <v>0</v>
      </c>
    </row>
    <row r="86" spans="1:29" x14ac:dyDescent="0.2">
      <c r="A86" s="889"/>
      <c r="B86" s="26"/>
      <c r="C86" s="27" t="s">
        <v>181</v>
      </c>
      <c r="D86" s="28" t="s">
        <v>182</v>
      </c>
      <c r="E86" s="29" t="s">
        <v>44</v>
      </c>
      <c r="F86" s="30">
        <v>44687</v>
      </c>
      <c r="G86" s="31">
        <f t="shared" si="2"/>
        <v>0.89373999999999998</v>
      </c>
      <c r="H86" s="32">
        <v>50000</v>
      </c>
      <c r="I86" s="33">
        <v>50000</v>
      </c>
      <c r="J86" s="34">
        <f t="shared" si="4"/>
        <v>1</v>
      </c>
      <c r="K86" s="35">
        <f t="shared" si="3"/>
        <v>50000</v>
      </c>
      <c r="L86" s="30">
        <f>SUM(M86:Q86)</f>
        <v>50000</v>
      </c>
      <c r="M86" s="30"/>
      <c r="N86" s="30"/>
      <c r="O86" s="30"/>
      <c r="P86" s="30">
        <v>50000</v>
      </c>
      <c r="Q86" s="30"/>
      <c r="R86" s="30"/>
      <c r="S86" s="30">
        <f>SUM(T86:AC86)</f>
        <v>0</v>
      </c>
      <c r="T86" s="30"/>
      <c r="U86" s="30"/>
      <c r="V86" s="30"/>
      <c r="W86" s="30"/>
      <c r="X86" s="30"/>
      <c r="Y86" s="30"/>
      <c r="Z86" s="30"/>
      <c r="AA86" s="30"/>
      <c r="AB86" s="30"/>
      <c r="AC86" s="30"/>
    </row>
    <row r="87" spans="1:29" ht="22.5" x14ac:dyDescent="0.2">
      <c r="A87" s="889"/>
      <c r="B87" s="26"/>
      <c r="C87" s="40" t="s">
        <v>183</v>
      </c>
      <c r="D87" s="41" t="s">
        <v>184</v>
      </c>
      <c r="E87" s="42" t="s">
        <v>185</v>
      </c>
      <c r="F87" s="43">
        <v>346684.32</v>
      </c>
      <c r="G87" s="44">
        <f t="shared" si="2"/>
        <v>1.0107414577259475</v>
      </c>
      <c r="H87" s="45">
        <v>346684.32</v>
      </c>
      <c r="I87" s="46">
        <v>346000</v>
      </c>
      <c r="J87" s="47">
        <f t="shared" si="4"/>
        <v>1.0087463556851313</v>
      </c>
      <c r="K87" s="879">
        <f t="shared" si="3"/>
        <v>346000</v>
      </c>
      <c r="L87" s="43">
        <f>SUM(M87:Q87)</f>
        <v>346000</v>
      </c>
      <c r="M87" s="43"/>
      <c r="N87" s="43"/>
      <c r="O87" s="43"/>
      <c r="P87" s="43">
        <v>346000</v>
      </c>
      <c r="Q87" s="43"/>
      <c r="R87" s="43"/>
      <c r="S87" s="43">
        <f>SUM(T87:AC87)</f>
        <v>0</v>
      </c>
      <c r="T87" s="43"/>
      <c r="U87" s="43"/>
      <c r="V87" s="43"/>
      <c r="W87" s="43"/>
      <c r="X87" s="43"/>
      <c r="Y87" s="43"/>
      <c r="Z87" s="43"/>
      <c r="AA87" s="43"/>
      <c r="AB87" s="43"/>
      <c r="AC87" s="43"/>
    </row>
    <row r="88" spans="1:29" ht="22.5" x14ac:dyDescent="0.2">
      <c r="A88" s="889"/>
      <c r="B88" s="82"/>
      <c r="C88" s="66" t="s">
        <v>71</v>
      </c>
      <c r="D88" s="67" t="s">
        <v>186</v>
      </c>
      <c r="E88" s="68">
        <v>0</v>
      </c>
      <c r="F88" s="30">
        <v>0</v>
      </c>
      <c r="G88" s="44">
        <v>0</v>
      </c>
      <c r="H88" s="32">
        <v>0</v>
      </c>
      <c r="I88" s="33">
        <v>0</v>
      </c>
      <c r="J88" s="34">
        <v>0</v>
      </c>
      <c r="K88" s="869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</row>
    <row r="89" spans="1:29" x14ac:dyDescent="0.2">
      <c r="A89" s="889"/>
      <c r="B89" s="82"/>
      <c r="C89" s="66" t="s">
        <v>59</v>
      </c>
      <c r="D89" s="67" t="s">
        <v>60</v>
      </c>
      <c r="E89" s="68">
        <v>0</v>
      </c>
      <c r="F89" s="30">
        <v>2000</v>
      </c>
      <c r="G89" s="44">
        <v>0</v>
      </c>
      <c r="H89" s="32">
        <v>2000</v>
      </c>
      <c r="I89" s="33">
        <v>0</v>
      </c>
      <c r="J89" s="34">
        <v>0</v>
      </c>
      <c r="K89" s="869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</row>
    <row r="90" spans="1:29" ht="22.5" x14ac:dyDescent="0.2">
      <c r="A90" s="889"/>
      <c r="B90" s="82"/>
      <c r="C90" s="66" t="s">
        <v>77</v>
      </c>
      <c r="D90" s="28" t="s">
        <v>78</v>
      </c>
      <c r="E90" s="68">
        <v>0</v>
      </c>
      <c r="F90" s="30">
        <v>0</v>
      </c>
      <c r="G90" s="44">
        <v>0</v>
      </c>
      <c r="H90" s="32">
        <v>0</v>
      </c>
      <c r="I90" s="33">
        <v>0</v>
      </c>
      <c r="J90" s="34">
        <v>0</v>
      </c>
      <c r="K90" s="869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</row>
    <row r="91" spans="1:29" ht="22.5" x14ac:dyDescent="0.2">
      <c r="A91" s="887"/>
      <c r="B91" s="19" t="s">
        <v>187</v>
      </c>
      <c r="C91" s="97"/>
      <c r="D91" s="98" t="s">
        <v>188</v>
      </c>
      <c r="E91" s="86">
        <f>E92+E93</f>
        <v>12887283</v>
      </c>
      <c r="F91" s="86">
        <f t="shared" ref="F91:AC91" si="39">F92+F93</f>
        <v>9461310.2899999991</v>
      </c>
      <c r="G91" s="87">
        <f t="shared" si="2"/>
        <v>0.73415865004283676</v>
      </c>
      <c r="H91" s="86">
        <f t="shared" si="39"/>
        <v>12707876.720000001</v>
      </c>
      <c r="I91" s="88">
        <f t="shared" si="39"/>
        <v>14631081</v>
      </c>
      <c r="J91" s="89">
        <f t="shared" si="4"/>
        <v>1.1353115315307345</v>
      </c>
      <c r="K91" s="877">
        <f t="shared" si="3"/>
        <v>14631081</v>
      </c>
      <c r="L91" s="90">
        <f t="shared" si="39"/>
        <v>14631081</v>
      </c>
      <c r="M91" s="86">
        <f t="shared" si="39"/>
        <v>14631081</v>
      </c>
      <c r="N91" s="86">
        <f t="shared" si="39"/>
        <v>0</v>
      </c>
      <c r="O91" s="86">
        <f t="shared" si="39"/>
        <v>0</v>
      </c>
      <c r="P91" s="86">
        <f t="shared" si="39"/>
        <v>0</v>
      </c>
      <c r="Q91" s="86">
        <f t="shared" si="39"/>
        <v>0</v>
      </c>
      <c r="R91" s="86">
        <f t="shared" si="39"/>
        <v>0</v>
      </c>
      <c r="S91" s="86">
        <f t="shared" si="39"/>
        <v>0</v>
      </c>
      <c r="T91" s="86">
        <f t="shared" si="39"/>
        <v>0</v>
      </c>
      <c r="U91" s="86">
        <f t="shared" si="39"/>
        <v>0</v>
      </c>
      <c r="V91" s="86">
        <f t="shared" si="39"/>
        <v>0</v>
      </c>
      <c r="W91" s="86">
        <f t="shared" si="39"/>
        <v>0</v>
      </c>
      <c r="X91" s="86">
        <f t="shared" si="39"/>
        <v>0</v>
      </c>
      <c r="Y91" s="86">
        <f t="shared" si="39"/>
        <v>0</v>
      </c>
      <c r="Z91" s="86">
        <f t="shared" si="39"/>
        <v>0</v>
      </c>
      <c r="AA91" s="86">
        <f t="shared" si="39"/>
        <v>0</v>
      </c>
      <c r="AB91" s="86">
        <f t="shared" si="39"/>
        <v>0</v>
      </c>
      <c r="AC91" s="99">
        <f t="shared" si="39"/>
        <v>0</v>
      </c>
    </row>
    <row r="92" spans="1:29" x14ac:dyDescent="0.2">
      <c r="A92" s="889"/>
      <c r="B92" s="26"/>
      <c r="C92" s="27" t="s">
        <v>189</v>
      </c>
      <c r="D92" s="28" t="s">
        <v>141</v>
      </c>
      <c r="E92" s="29" t="s">
        <v>190</v>
      </c>
      <c r="F92" s="30">
        <v>8545865</v>
      </c>
      <c r="G92" s="31">
        <f t="shared" si="2"/>
        <v>0.75047445470530594</v>
      </c>
      <c r="H92" s="32">
        <v>11387283</v>
      </c>
      <c r="I92" s="33">
        <v>13131081</v>
      </c>
      <c r="J92" s="34">
        <f t="shared" si="4"/>
        <v>1.1531355635931766</v>
      </c>
      <c r="K92" s="869">
        <f t="shared" si="3"/>
        <v>13131081</v>
      </c>
      <c r="L92" s="30">
        <f>SUM(M92:Q92)</f>
        <v>13131081</v>
      </c>
      <c r="M92" s="30">
        <v>13131081</v>
      </c>
      <c r="N92" s="30"/>
      <c r="O92" s="30"/>
      <c r="P92" s="30"/>
      <c r="Q92" s="30"/>
      <c r="R92" s="30"/>
      <c r="S92" s="30">
        <f>SUM(T92:AC92)</f>
        <v>0</v>
      </c>
      <c r="T92" s="30"/>
      <c r="U92" s="30"/>
      <c r="V92" s="30"/>
      <c r="W92" s="30"/>
      <c r="X92" s="30"/>
      <c r="Y92" s="30"/>
      <c r="Z92" s="30"/>
      <c r="AA92" s="30"/>
      <c r="AB92" s="30"/>
      <c r="AC92" s="30"/>
    </row>
    <row r="93" spans="1:29" x14ac:dyDescent="0.2">
      <c r="A93" s="889"/>
      <c r="B93" s="26"/>
      <c r="C93" s="27" t="s">
        <v>191</v>
      </c>
      <c r="D93" s="28" t="s">
        <v>192</v>
      </c>
      <c r="E93" s="29" t="s">
        <v>193</v>
      </c>
      <c r="F93" s="30">
        <v>915445.29</v>
      </c>
      <c r="G93" s="31">
        <f t="shared" si="2"/>
        <v>0.61029686000000005</v>
      </c>
      <c r="H93" s="32">
        <v>1320593.72</v>
      </c>
      <c r="I93" s="33">
        <v>1500000</v>
      </c>
      <c r="J93" s="34">
        <f t="shared" si="4"/>
        <v>1</v>
      </c>
      <c r="K93" s="35">
        <f t="shared" si="3"/>
        <v>1500000</v>
      </c>
      <c r="L93" s="30">
        <f>SUM(M93:Q93)</f>
        <v>1500000</v>
      </c>
      <c r="M93" s="30">
        <v>1500000</v>
      </c>
      <c r="N93" s="30"/>
      <c r="O93" s="30"/>
      <c r="P93" s="30"/>
      <c r="Q93" s="30"/>
      <c r="R93" s="30"/>
      <c r="S93" s="30">
        <f>SUM(T93:AC93)</f>
        <v>0</v>
      </c>
      <c r="T93" s="30"/>
      <c r="U93" s="30"/>
      <c r="V93" s="30"/>
      <c r="W93" s="30"/>
      <c r="X93" s="30"/>
      <c r="Y93" s="30"/>
      <c r="Z93" s="30"/>
      <c r="AA93" s="30"/>
      <c r="AB93" s="30"/>
      <c r="AC93" s="30"/>
    </row>
    <row r="94" spans="1:29" x14ac:dyDescent="0.2">
      <c r="A94" s="885" t="s">
        <v>194</v>
      </c>
      <c r="B94" s="13"/>
      <c r="C94" s="13"/>
      <c r="D94" s="14" t="s">
        <v>195</v>
      </c>
      <c r="E94" s="15">
        <f>E95+E97+E99+E111</f>
        <v>19271577.899999999</v>
      </c>
      <c r="F94" s="15">
        <f t="shared" ref="F94:AC94" si="40">F95+F97+F99+F111</f>
        <v>15901903.890000001</v>
      </c>
      <c r="G94" s="16">
        <f t="shared" ref="G94:G170" si="41">F94/E94</f>
        <v>0.82514799631430291</v>
      </c>
      <c r="H94" s="15">
        <f t="shared" si="40"/>
        <v>19317642.600000001</v>
      </c>
      <c r="I94" s="17">
        <f t="shared" si="40"/>
        <v>20050389</v>
      </c>
      <c r="J94" s="80">
        <f t="shared" si="4"/>
        <v>1.0404124199918265</v>
      </c>
      <c r="K94" s="878">
        <f t="shared" ref="K94:K170" si="42">L94+R94+S94</f>
        <v>20050389</v>
      </c>
      <c r="L94" s="84">
        <f t="shared" si="40"/>
        <v>20050389</v>
      </c>
      <c r="M94" s="15">
        <f t="shared" si="40"/>
        <v>19990389</v>
      </c>
      <c r="N94" s="15">
        <f t="shared" si="40"/>
        <v>0</v>
      </c>
      <c r="O94" s="15">
        <f t="shared" si="40"/>
        <v>0</v>
      </c>
      <c r="P94" s="15">
        <f t="shared" si="40"/>
        <v>60000</v>
      </c>
      <c r="Q94" s="15">
        <f t="shared" si="40"/>
        <v>0</v>
      </c>
      <c r="R94" s="15">
        <f t="shared" si="40"/>
        <v>0</v>
      </c>
      <c r="S94" s="15">
        <f t="shared" si="40"/>
        <v>0</v>
      </c>
      <c r="T94" s="15">
        <f t="shared" si="40"/>
        <v>0</v>
      </c>
      <c r="U94" s="15">
        <f t="shared" si="40"/>
        <v>0</v>
      </c>
      <c r="V94" s="15">
        <f t="shared" si="40"/>
        <v>0</v>
      </c>
      <c r="W94" s="15">
        <f t="shared" si="40"/>
        <v>0</v>
      </c>
      <c r="X94" s="15">
        <f t="shared" si="40"/>
        <v>0</v>
      </c>
      <c r="Y94" s="15">
        <f t="shared" si="40"/>
        <v>0</v>
      </c>
      <c r="Z94" s="15">
        <f t="shared" si="40"/>
        <v>0</v>
      </c>
      <c r="AA94" s="15">
        <f t="shared" si="40"/>
        <v>0</v>
      </c>
      <c r="AB94" s="15">
        <f t="shared" si="40"/>
        <v>0</v>
      </c>
      <c r="AC94" s="18">
        <f t="shared" si="40"/>
        <v>0</v>
      </c>
    </row>
    <row r="95" spans="1:29" ht="22.5" x14ac:dyDescent="0.2">
      <c r="A95" s="887"/>
      <c r="B95" s="19" t="s">
        <v>196</v>
      </c>
      <c r="C95" s="20"/>
      <c r="D95" s="21" t="s">
        <v>197</v>
      </c>
      <c r="E95" s="22" t="str">
        <f>E96</f>
        <v>13 994 143,00</v>
      </c>
      <c r="F95" s="22">
        <f t="shared" ref="F95:AC95" si="43">F96</f>
        <v>11841203</v>
      </c>
      <c r="G95" s="23">
        <f t="shared" si="41"/>
        <v>0.84615420894298421</v>
      </c>
      <c r="H95" s="22">
        <f t="shared" si="43"/>
        <v>13994143</v>
      </c>
      <c r="I95" s="24">
        <f t="shared" si="43"/>
        <v>14605026</v>
      </c>
      <c r="J95" s="37">
        <f t="shared" ref="J95:J171" si="44">I95/E95</f>
        <v>1.0436527624449743</v>
      </c>
      <c r="K95" s="870">
        <f t="shared" si="42"/>
        <v>14605026</v>
      </c>
      <c r="L95" s="38">
        <f t="shared" si="43"/>
        <v>14605026</v>
      </c>
      <c r="M95" s="22">
        <f t="shared" si="43"/>
        <v>14605026</v>
      </c>
      <c r="N95" s="22">
        <f t="shared" si="43"/>
        <v>0</v>
      </c>
      <c r="O95" s="22">
        <f t="shared" si="43"/>
        <v>0</v>
      </c>
      <c r="P95" s="22">
        <f t="shared" si="43"/>
        <v>0</v>
      </c>
      <c r="Q95" s="22">
        <f t="shared" si="43"/>
        <v>0</v>
      </c>
      <c r="R95" s="22">
        <f t="shared" si="43"/>
        <v>0</v>
      </c>
      <c r="S95" s="22">
        <f t="shared" si="43"/>
        <v>0</v>
      </c>
      <c r="T95" s="22">
        <f t="shared" si="43"/>
        <v>0</v>
      </c>
      <c r="U95" s="22">
        <f t="shared" si="43"/>
        <v>0</v>
      </c>
      <c r="V95" s="22">
        <f t="shared" si="43"/>
        <v>0</v>
      </c>
      <c r="W95" s="22">
        <f t="shared" si="43"/>
        <v>0</v>
      </c>
      <c r="X95" s="22">
        <f t="shared" si="43"/>
        <v>0</v>
      </c>
      <c r="Y95" s="22">
        <f t="shared" si="43"/>
        <v>0</v>
      </c>
      <c r="Z95" s="22">
        <f t="shared" si="43"/>
        <v>0</v>
      </c>
      <c r="AA95" s="22">
        <f t="shared" si="43"/>
        <v>0</v>
      </c>
      <c r="AB95" s="22">
        <f t="shared" si="43"/>
        <v>0</v>
      </c>
      <c r="AC95" s="25">
        <f t="shared" si="43"/>
        <v>0</v>
      </c>
    </row>
    <row r="96" spans="1:29" x14ac:dyDescent="0.2">
      <c r="A96" s="889"/>
      <c r="B96" s="26"/>
      <c r="C96" s="27" t="s">
        <v>198</v>
      </c>
      <c r="D96" s="28" t="s">
        <v>199</v>
      </c>
      <c r="E96" s="29" t="s">
        <v>200</v>
      </c>
      <c r="F96" s="30">
        <v>11841203</v>
      </c>
      <c r="G96" s="31">
        <f t="shared" si="41"/>
        <v>0.84615420894298421</v>
      </c>
      <c r="H96" s="32">
        <v>13994143</v>
      </c>
      <c r="I96" s="33">
        <v>14605026</v>
      </c>
      <c r="J96" s="34">
        <f t="shared" si="44"/>
        <v>1.0436527624449743</v>
      </c>
      <c r="K96" s="35">
        <f t="shared" si="42"/>
        <v>14605026</v>
      </c>
      <c r="L96" s="30">
        <f>SUM(M96:Q96)</f>
        <v>14605026</v>
      </c>
      <c r="M96" s="30">
        <v>14605026</v>
      </c>
      <c r="N96" s="30"/>
      <c r="O96" s="30"/>
      <c r="P96" s="30"/>
      <c r="Q96" s="30"/>
      <c r="R96" s="30"/>
      <c r="S96" s="30">
        <f>SUM(T96:AC96)</f>
        <v>0</v>
      </c>
      <c r="T96" s="30"/>
      <c r="U96" s="30"/>
      <c r="V96" s="30"/>
      <c r="W96" s="30"/>
      <c r="X96" s="30"/>
      <c r="Y96" s="30"/>
      <c r="Z96" s="30"/>
      <c r="AA96" s="30"/>
      <c r="AB96" s="30"/>
      <c r="AC96" s="30"/>
    </row>
    <row r="97" spans="1:29" ht="15" x14ac:dyDescent="0.2">
      <c r="A97" s="887"/>
      <c r="B97" s="19" t="s">
        <v>201</v>
      </c>
      <c r="C97" s="20"/>
      <c r="D97" s="21" t="s">
        <v>202</v>
      </c>
      <c r="E97" s="22" t="str">
        <f>E98</f>
        <v>4 751 658,00</v>
      </c>
      <c r="F97" s="22">
        <f t="shared" ref="F97:AC97" si="45">F98</f>
        <v>3563748</v>
      </c>
      <c r="G97" s="23">
        <f t="shared" si="41"/>
        <v>0.75000094703785503</v>
      </c>
      <c r="H97" s="22">
        <f t="shared" si="45"/>
        <v>4751658</v>
      </c>
      <c r="I97" s="24">
        <f t="shared" si="45"/>
        <v>5163809</v>
      </c>
      <c r="J97" s="37">
        <f t="shared" si="44"/>
        <v>1.0867383553277614</v>
      </c>
      <c r="K97" s="870">
        <f t="shared" si="42"/>
        <v>5163809</v>
      </c>
      <c r="L97" s="38">
        <f t="shared" si="45"/>
        <v>5163809</v>
      </c>
      <c r="M97" s="22">
        <f t="shared" si="45"/>
        <v>5163809</v>
      </c>
      <c r="N97" s="22">
        <f t="shared" si="45"/>
        <v>0</v>
      </c>
      <c r="O97" s="22">
        <f t="shared" si="45"/>
        <v>0</v>
      </c>
      <c r="P97" s="22">
        <f t="shared" si="45"/>
        <v>0</v>
      </c>
      <c r="Q97" s="22">
        <f t="shared" si="45"/>
        <v>0</v>
      </c>
      <c r="R97" s="22">
        <f t="shared" si="45"/>
        <v>0</v>
      </c>
      <c r="S97" s="22">
        <f t="shared" si="45"/>
        <v>0</v>
      </c>
      <c r="T97" s="22">
        <f t="shared" si="45"/>
        <v>0</v>
      </c>
      <c r="U97" s="22">
        <f t="shared" si="45"/>
        <v>0</v>
      </c>
      <c r="V97" s="22">
        <f t="shared" si="45"/>
        <v>0</v>
      </c>
      <c r="W97" s="22">
        <f t="shared" si="45"/>
        <v>0</v>
      </c>
      <c r="X97" s="22">
        <f t="shared" si="45"/>
        <v>0</v>
      </c>
      <c r="Y97" s="22">
        <f t="shared" si="45"/>
        <v>0</v>
      </c>
      <c r="Z97" s="22">
        <f t="shared" si="45"/>
        <v>0</v>
      </c>
      <c r="AA97" s="22">
        <f t="shared" si="45"/>
        <v>0</v>
      </c>
      <c r="AB97" s="22">
        <f t="shared" si="45"/>
        <v>0</v>
      </c>
      <c r="AC97" s="25">
        <f t="shared" si="45"/>
        <v>0</v>
      </c>
    </row>
    <row r="98" spans="1:29" x14ac:dyDescent="0.2">
      <c r="A98" s="889"/>
      <c r="B98" s="26"/>
      <c r="C98" s="27" t="s">
        <v>198</v>
      </c>
      <c r="D98" s="28" t="s">
        <v>199</v>
      </c>
      <c r="E98" s="29" t="s">
        <v>203</v>
      </c>
      <c r="F98" s="30">
        <v>3563748</v>
      </c>
      <c r="G98" s="31">
        <f t="shared" si="41"/>
        <v>0.75000094703785503</v>
      </c>
      <c r="H98" s="32">
        <v>4751658</v>
      </c>
      <c r="I98" s="33">
        <v>5163809</v>
      </c>
      <c r="J98" s="34">
        <f t="shared" si="44"/>
        <v>1.0867383553277614</v>
      </c>
      <c r="K98" s="35">
        <f t="shared" si="42"/>
        <v>5163809</v>
      </c>
      <c r="L98" s="30">
        <f>SUM(M98:Q98)</f>
        <v>5163809</v>
      </c>
      <c r="M98" s="30">
        <v>5163809</v>
      </c>
      <c r="N98" s="30"/>
      <c r="O98" s="30"/>
      <c r="P98" s="30"/>
      <c r="Q98" s="30"/>
      <c r="R98" s="30"/>
      <c r="S98" s="30">
        <f>SUM(T98:AC98)</f>
        <v>0</v>
      </c>
      <c r="T98" s="30"/>
      <c r="U98" s="30"/>
      <c r="V98" s="30"/>
      <c r="W98" s="30"/>
      <c r="X98" s="30"/>
      <c r="Y98" s="30"/>
      <c r="Z98" s="30"/>
      <c r="AA98" s="30"/>
      <c r="AB98" s="30"/>
      <c r="AC98" s="30"/>
    </row>
    <row r="99" spans="1:29" ht="15" x14ac:dyDescent="0.2">
      <c r="A99" s="887"/>
      <c r="B99" s="19" t="s">
        <v>204</v>
      </c>
      <c r="C99" s="100"/>
      <c r="D99" s="101" t="s">
        <v>205</v>
      </c>
      <c r="E99" s="102">
        <f>E103+E104+E106+E107+E108+E109+E110+E100+E101+E102+E105</f>
        <v>298056.90000000002</v>
      </c>
      <c r="F99" s="102">
        <f t="shared" ref="F99:I99" si="46">F103+F104+F106+F107+F108+F109+F110+F100+F101+F102+F105</f>
        <v>326159.89</v>
      </c>
      <c r="G99" s="103">
        <f>F99/E99</f>
        <v>1.0942873323851923</v>
      </c>
      <c r="H99" s="102">
        <f t="shared" si="46"/>
        <v>344121.59999999998</v>
      </c>
      <c r="I99" s="104">
        <f t="shared" si="46"/>
        <v>60000</v>
      </c>
      <c r="J99" s="105">
        <f t="shared" si="44"/>
        <v>0.20130384500409149</v>
      </c>
      <c r="K99" s="880">
        <f t="shared" si="42"/>
        <v>60000</v>
      </c>
      <c r="L99" s="106">
        <f t="shared" ref="L99:AC99" si="47">L103+L104+L106+L107+L108+L109+L110</f>
        <v>60000</v>
      </c>
      <c r="M99" s="102">
        <f t="shared" si="47"/>
        <v>0</v>
      </c>
      <c r="N99" s="102">
        <f t="shared" si="47"/>
        <v>0</v>
      </c>
      <c r="O99" s="102">
        <f t="shared" si="47"/>
        <v>0</v>
      </c>
      <c r="P99" s="102">
        <f t="shared" si="47"/>
        <v>60000</v>
      </c>
      <c r="Q99" s="102">
        <f t="shared" si="47"/>
        <v>0</v>
      </c>
      <c r="R99" s="102">
        <f t="shared" si="47"/>
        <v>0</v>
      </c>
      <c r="S99" s="102">
        <f t="shared" si="47"/>
        <v>0</v>
      </c>
      <c r="T99" s="102">
        <f t="shared" si="47"/>
        <v>0</v>
      </c>
      <c r="U99" s="102">
        <f t="shared" si="47"/>
        <v>0</v>
      </c>
      <c r="V99" s="102">
        <f t="shared" si="47"/>
        <v>0</v>
      </c>
      <c r="W99" s="102">
        <f t="shared" si="47"/>
        <v>0</v>
      </c>
      <c r="X99" s="102">
        <f t="shared" si="47"/>
        <v>0</v>
      </c>
      <c r="Y99" s="102">
        <f t="shared" si="47"/>
        <v>0</v>
      </c>
      <c r="Z99" s="102">
        <f t="shared" si="47"/>
        <v>0</v>
      </c>
      <c r="AA99" s="102">
        <f t="shared" si="47"/>
        <v>0</v>
      </c>
      <c r="AB99" s="102">
        <f t="shared" si="47"/>
        <v>0</v>
      </c>
      <c r="AC99" s="107">
        <f t="shared" si="47"/>
        <v>0</v>
      </c>
    </row>
    <row r="100" spans="1:29" s="117" customFormat="1" ht="22.5" x14ac:dyDescent="0.2">
      <c r="A100" s="892"/>
      <c r="B100" s="108"/>
      <c r="C100" s="109" t="s">
        <v>206</v>
      </c>
      <c r="D100" s="110" t="s">
        <v>207</v>
      </c>
      <c r="E100" s="111">
        <v>0</v>
      </c>
      <c r="F100" s="112">
        <v>3000</v>
      </c>
      <c r="G100" s="113">
        <v>0</v>
      </c>
      <c r="H100" s="114">
        <v>3000</v>
      </c>
      <c r="I100" s="115">
        <v>0</v>
      </c>
      <c r="J100" s="116">
        <v>0</v>
      </c>
      <c r="K100" s="88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</row>
    <row r="101" spans="1:29" s="117" customFormat="1" ht="22.5" x14ac:dyDescent="0.2">
      <c r="A101" s="892"/>
      <c r="B101" s="108"/>
      <c r="C101" s="109" t="s">
        <v>208</v>
      </c>
      <c r="D101" s="110" t="s">
        <v>209</v>
      </c>
      <c r="E101" s="111">
        <v>0</v>
      </c>
      <c r="F101" s="112">
        <v>709</v>
      </c>
      <c r="G101" s="113">
        <v>0</v>
      </c>
      <c r="H101" s="114">
        <v>709</v>
      </c>
      <c r="I101" s="115">
        <v>0</v>
      </c>
      <c r="J101" s="116">
        <v>0</v>
      </c>
      <c r="K101" s="88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  <c r="AB101" s="111"/>
      <c r="AC101" s="111"/>
    </row>
    <row r="102" spans="1:29" s="117" customFormat="1" ht="15" x14ac:dyDescent="0.2">
      <c r="A102" s="892"/>
      <c r="B102" s="108"/>
      <c r="C102" s="109" t="s">
        <v>99</v>
      </c>
      <c r="D102" s="110" t="s">
        <v>100</v>
      </c>
      <c r="E102" s="111">
        <v>0</v>
      </c>
      <c r="F102" s="112">
        <v>6.6</v>
      </c>
      <c r="G102" s="113">
        <v>0</v>
      </c>
      <c r="H102" s="114">
        <v>6.6</v>
      </c>
      <c r="I102" s="115">
        <v>0</v>
      </c>
      <c r="J102" s="116">
        <v>0</v>
      </c>
      <c r="K102" s="88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  <c r="AA102" s="111"/>
      <c r="AB102" s="111"/>
      <c r="AC102" s="111"/>
    </row>
    <row r="103" spans="1:29" x14ac:dyDescent="0.2">
      <c r="A103" s="889"/>
      <c r="B103" s="26"/>
      <c r="C103" s="118" t="s">
        <v>45</v>
      </c>
      <c r="D103" s="119" t="s">
        <v>46</v>
      </c>
      <c r="E103" s="120" t="s">
        <v>210</v>
      </c>
      <c r="F103" s="121">
        <v>78920.990000000005</v>
      </c>
      <c r="G103" s="113">
        <f t="shared" ref="G103:G110" si="48">F103/E103</f>
        <v>1.434927090909091</v>
      </c>
      <c r="H103" s="122">
        <v>88920.99</v>
      </c>
      <c r="I103" s="123">
        <v>60000</v>
      </c>
      <c r="J103" s="116">
        <f t="shared" ref="J103:J110" si="49">I103/E103</f>
        <v>1.0909090909090908</v>
      </c>
      <c r="K103" s="35">
        <f t="shared" si="42"/>
        <v>60000</v>
      </c>
      <c r="L103" s="124">
        <v>60000</v>
      </c>
      <c r="M103" s="124"/>
      <c r="N103" s="124"/>
      <c r="O103" s="124"/>
      <c r="P103" s="124">
        <v>60000</v>
      </c>
      <c r="Q103" s="124"/>
      <c r="R103" s="124"/>
      <c r="S103" s="124">
        <f>SUM(T103:AC103)</f>
        <v>0</v>
      </c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</row>
    <row r="104" spans="1:29" x14ac:dyDescent="0.2">
      <c r="A104" s="889"/>
      <c r="B104" s="26"/>
      <c r="C104" s="27" t="s">
        <v>211</v>
      </c>
      <c r="D104" s="28" t="s">
        <v>212</v>
      </c>
      <c r="E104" s="29" t="s">
        <v>213</v>
      </c>
      <c r="F104" s="125">
        <v>13408.71</v>
      </c>
      <c r="G104" s="113">
        <f t="shared" si="48"/>
        <v>1.5666522176512443</v>
      </c>
      <c r="H104" s="126">
        <v>13408.71</v>
      </c>
      <c r="I104" s="33">
        <v>0</v>
      </c>
      <c r="J104" s="116">
        <f t="shared" si="49"/>
        <v>0</v>
      </c>
      <c r="K104" s="869">
        <f t="shared" si="42"/>
        <v>0</v>
      </c>
      <c r="L104" s="30">
        <f t="shared" ref="L104:L110" si="50">SUM(M104:Q104)</f>
        <v>0</v>
      </c>
      <c r="M104" s="30"/>
      <c r="N104" s="30"/>
      <c r="O104" s="30"/>
      <c r="P104" s="30">
        <v>0</v>
      </c>
      <c r="Q104" s="30"/>
      <c r="R104" s="30"/>
      <c r="S104" s="30">
        <f t="shared" ref="S104:S110" si="51">SUM(T104:AC104)</f>
        <v>0</v>
      </c>
      <c r="T104" s="30"/>
      <c r="U104" s="30"/>
      <c r="V104" s="30"/>
      <c r="W104" s="30"/>
      <c r="X104" s="30"/>
      <c r="Y104" s="30"/>
      <c r="Z104" s="30"/>
      <c r="AA104" s="30"/>
      <c r="AB104" s="30"/>
      <c r="AC104" s="30"/>
    </row>
    <row r="105" spans="1:29" x14ac:dyDescent="0.2">
      <c r="A105" s="889"/>
      <c r="B105" s="26"/>
      <c r="C105" s="39" t="s">
        <v>114</v>
      </c>
      <c r="D105" s="41" t="s">
        <v>115</v>
      </c>
      <c r="E105" s="29">
        <v>0</v>
      </c>
      <c r="F105" s="125">
        <v>3578.23</v>
      </c>
      <c r="G105" s="113">
        <v>0</v>
      </c>
      <c r="H105" s="126">
        <v>3578.23</v>
      </c>
      <c r="I105" s="33">
        <v>0</v>
      </c>
      <c r="J105" s="116">
        <v>0</v>
      </c>
      <c r="K105" s="869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</row>
    <row r="106" spans="1:29" ht="45" x14ac:dyDescent="0.2">
      <c r="A106" s="897"/>
      <c r="B106" s="898"/>
      <c r="C106" s="899" t="s">
        <v>47</v>
      </c>
      <c r="D106" s="900" t="s">
        <v>48</v>
      </c>
      <c r="E106" s="901" t="s">
        <v>214</v>
      </c>
      <c r="F106" s="125">
        <v>0</v>
      </c>
      <c r="G106" s="113">
        <f t="shared" si="48"/>
        <v>0</v>
      </c>
      <c r="H106" s="126">
        <v>7961.71</v>
      </c>
      <c r="I106" s="33">
        <v>0</v>
      </c>
      <c r="J106" s="116">
        <f t="shared" si="49"/>
        <v>0</v>
      </c>
      <c r="K106" s="869">
        <f t="shared" si="42"/>
        <v>0</v>
      </c>
      <c r="L106" s="30">
        <f t="shared" si="50"/>
        <v>0</v>
      </c>
      <c r="M106" s="30"/>
      <c r="N106" s="30"/>
      <c r="O106" s="30"/>
      <c r="P106" s="30"/>
      <c r="Q106" s="30"/>
      <c r="R106" s="30"/>
      <c r="S106" s="30">
        <f t="shared" si="51"/>
        <v>0</v>
      </c>
      <c r="T106" s="30"/>
      <c r="U106" s="30"/>
      <c r="V106" s="30"/>
      <c r="W106" s="30"/>
      <c r="X106" s="30"/>
      <c r="Y106" s="30"/>
      <c r="Z106" s="30"/>
      <c r="AA106" s="30"/>
      <c r="AB106" s="30"/>
      <c r="AC106" s="30"/>
    </row>
    <row r="107" spans="1:29" ht="33.75" x14ac:dyDescent="0.2">
      <c r="A107" s="889"/>
      <c r="B107" s="26"/>
      <c r="C107" s="118" t="s">
        <v>215</v>
      </c>
      <c r="D107" s="119" t="s">
        <v>216</v>
      </c>
      <c r="E107" s="120" t="s">
        <v>217</v>
      </c>
      <c r="F107" s="121">
        <v>82548.56</v>
      </c>
      <c r="G107" s="895">
        <f t="shared" si="48"/>
        <v>1</v>
      </c>
      <c r="H107" s="122">
        <v>82548.56</v>
      </c>
      <c r="I107" s="123">
        <v>0</v>
      </c>
      <c r="J107" s="896">
        <f t="shared" si="49"/>
        <v>0</v>
      </c>
      <c r="K107" s="869">
        <f t="shared" si="42"/>
        <v>0</v>
      </c>
      <c r="L107" s="30">
        <f t="shared" si="50"/>
        <v>0</v>
      </c>
      <c r="M107" s="30"/>
      <c r="N107" s="30"/>
      <c r="O107" s="30"/>
      <c r="P107" s="30"/>
      <c r="Q107" s="30"/>
      <c r="R107" s="30"/>
      <c r="S107" s="30">
        <f t="shared" si="51"/>
        <v>0</v>
      </c>
      <c r="T107" s="30"/>
      <c r="U107" s="30"/>
      <c r="V107" s="30"/>
      <c r="W107" s="30"/>
      <c r="X107" s="30"/>
      <c r="Y107" s="30"/>
      <c r="Z107" s="30"/>
      <c r="AA107" s="30"/>
      <c r="AB107" s="30"/>
      <c r="AC107" s="30"/>
    </row>
    <row r="108" spans="1:29" ht="33.75" x14ac:dyDescent="0.2">
      <c r="A108" s="889"/>
      <c r="B108" s="26"/>
      <c r="C108" s="27" t="s">
        <v>218</v>
      </c>
      <c r="D108" s="28" t="s">
        <v>219</v>
      </c>
      <c r="E108" s="29" t="s">
        <v>220</v>
      </c>
      <c r="F108" s="125">
        <v>57998.1</v>
      </c>
      <c r="G108" s="113">
        <f t="shared" si="48"/>
        <v>1</v>
      </c>
      <c r="H108" s="126">
        <v>57998.1</v>
      </c>
      <c r="I108" s="33">
        <v>0</v>
      </c>
      <c r="J108" s="116">
        <f t="shared" si="49"/>
        <v>0</v>
      </c>
      <c r="K108" s="869">
        <f t="shared" si="42"/>
        <v>0</v>
      </c>
      <c r="L108" s="30">
        <f t="shared" si="50"/>
        <v>0</v>
      </c>
      <c r="M108" s="30"/>
      <c r="N108" s="30"/>
      <c r="O108" s="30"/>
      <c r="P108" s="30"/>
      <c r="Q108" s="30"/>
      <c r="R108" s="30"/>
      <c r="S108" s="30">
        <f t="shared" si="51"/>
        <v>0</v>
      </c>
      <c r="T108" s="30"/>
      <c r="U108" s="30"/>
      <c r="V108" s="30"/>
      <c r="W108" s="30"/>
      <c r="X108" s="30"/>
      <c r="Y108" s="30"/>
      <c r="Z108" s="30"/>
      <c r="AA108" s="30"/>
      <c r="AB108" s="30"/>
      <c r="AC108" s="30"/>
    </row>
    <row r="109" spans="1:29" ht="33.75" x14ac:dyDescent="0.2">
      <c r="A109" s="889"/>
      <c r="B109" s="26"/>
      <c r="C109" s="27" t="s">
        <v>221</v>
      </c>
      <c r="D109" s="28" t="s">
        <v>222</v>
      </c>
      <c r="E109" s="29" t="s">
        <v>223</v>
      </c>
      <c r="F109" s="125">
        <v>8200.9500000000007</v>
      </c>
      <c r="G109" s="113">
        <f t="shared" si="48"/>
        <v>1</v>
      </c>
      <c r="H109" s="126">
        <v>8200.9500000000007</v>
      </c>
      <c r="I109" s="33">
        <v>0</v>
      </c>
      <c r="J109" s="116">
        <f t="shared" si="49"/>
        <v>0</v>
      </c>
      <c r="K109" s="869">
        <f t="shared" si="42"/>
        <v>0</v>
      </c>
      <c r="L109" s="30">
        <f t="shared" si="50"/>
        <v>0</v>
      </c>
      <c r="M109" s="30"/>
      <c r="N109" s="30"/>
      <c r="O109" s="30"/>
      <c r="P109" s="30"/>
      <c r="Q109" s="30"/>
      <c r="R109" s="30"/>
      <c r="S109" s="30">
        <f t="shared" si="51"/>
        <v>0</v>
      </c>
      <c r="T109" s="30"/>
      <c r="U109" s="30"/>
      <c r="V109" s="30"/>
      <c r="W109" s="30"/>
      <c r="X109" s="30"/>
      <c r="Y109" s="30"/>
      <c r="Z109" s="30"/>
      <c r="AA109" s="30"/>
      <c r="AB109" s="30"/>
      <c r="AC109" s="30"/>
    </row>
    <row r="110" spans="1:29" ht="33.75" x14ac:dyDescent="0.2">
      <c r="A110" s="889"/>
      <c r="B110" s="26"/>
      <c r="C110" s="27" t="s">
        <v>224</v>
      </c>
      <c r="D110" s="28" t="s">
        <v>219</v>
      </c>
      <c r="E110" s="29" t="s">
        <v>225</v>
      </c>
      <c r="F110" s="125">
        <v>77788.75</v>
      </c>
      <c r="G110" s="113">
        <f t="shared" si="48"/>
        <v>1</v>
      </c>
      <c r="H110" s="126">
        <v>77788.75</v>
      </c>
      <c r="I110" s="33">
        <v>0</v>
      </c>
      <c r="J110" s="116">
        <f t="shared" si="49"/>
        <v>0</v>
      </c>
      <c r="K110" s="869">
        <f t="shared" si="42"/>
        <v>0</v>
      </c>
      <c r="L110" s="30">
        <f t="shared" si="50"/>
        <v>0</v>
      </c>
      <c r="M110" s="30"/>
      <c r="N110" s="30"/>
      <c r="O110" s="30"/>
      <c r="P110" s="30"/>
      <c r="Q110" s="30"/>
      <c r="R110" s="30"/>
      <c r="S110" s="30">
        <f t="shared" si="51"/>
        <v>0</v>
      </c>
      <c r="T110" s="30"/>
      <c r="U110" s="30"/>
      <c r="V110" s="30"/>
      <c r="W110" s="30"/>
      <c r="X110" s="30"/>
      <c r="Y110" s="30"/>
      <c r="Z110" s="30"/>
      <c r="AA110" s="30"/>
      <c r="AB110" s="30"/>
      <c r="AC110" s="30"/>
    </row>
    <row r="111" spans="1:29" ht="15" x14ac:dyDescent="0.2">
      <c r="A111" s="887"/>
      <c r="B111" s="19" t="s">
        <v>226</v>
      </c>
      <c r="C111" s="20"/>
      <c r="D111" s="21" t="s">
        <v>227</v>
      </c>
      <c r="E111" s="22" t="str">
        <f>E112</f>
        <v>227 720,00</v>
      </c>
      <c r="F111" s="22">
        <f t="shared" ref="F111:AC111" si="52">F112</f>
        <v>170793</v>
      </c>
      <c r="G111" s="23">
        <f t="shared" si="41"/>
        <v>0.75001317407342349</v>
      </c>
      <c r="H111" s="22">
        <f t="shared" si="52"/>
        <v>227720</v>
      </c>
      <c r="I111" s="24">
        <f t="shared" si="52"/>
        <v>221554</v>
      </c>
      <c r="J111" s="37">
        <f t="shared" si="44"/>
        <v>0.97292288775689439</v>
      </c>
      <c r="K111" s="870">
        <f t="shared" si="42"/>
        <v>221554</v>
      </c>
      <c r="L111" s="38">
        <f t="shared" si="52"/>
        <v>221554</v>
      </c>
      <c r="M111" s="22">
        <f t="shared" si="52"/>
        <v>221554</v>
      </c>
      <c r="N111" s="22">
        <f t="shared" si="52"/>
        <v>0</v>
      </c>
      <c r="O111" s="22">
        <f t="shared" si="52"/>
        <v>0</v>
      </c>
      <c r="P111" s="22">
        <f t="shared" si="52"/>
        <v>0</v>
      </c>
      <c r="Q111" s="22">
        <f t="shared" si="52"/>
        <v>0</v>
      </c>
      <c r="R111" s="22">
        <f t="shared" si="52"/>
        <v>0</v>
      </c>
      <c r="S111" s="22">
        <f t="shared" si="52"/>
        <v>0</v>
      </c>
      <c r="T111" s="22">
        <f t="shared" si="52"/>
        <v>0</v>
      </c>
      <c r="U111" s="22">
        <f t="shared" si="52"/>
        <v>0</v>
      </c>
      <c r="V111" s="22">
        <f t="shared" si="52"/>
        <v>0</v>
      </c>
      <c r="W111" s="22">
        <f t="shared" si="52"/>
        <v>0</v>
      </c>
      <c r="X111" s="22">
        <f t="shared" si="52"/>
        <v>0</v>
      </c>
      <c r="Y111" s="22">
        <f t="shared" si="52"/>
        <v>0</v>
      </c>
      <c r="Z111" s="22">
        <f t="shared" si="52"/>
        <v>0</v>
      </c>
      <c r="AA111" s="22">
        <f t="shared" si="52"/>
        <v>0</v>
      </c>
      <c r="AB111" s="22">
        <f t="shared" si="52"/>
        <v>0</v>
      </c>
      <c r="AC111" s="25">
        <f t="shared" si="52"/>
        <v>0</v>
      </c>
    </row>
    <row r="112" spans="1:29" x14ac:dyDescent="0.2">
      <c r="A112" s="889"/>
      <c r="B112" s="26"/>
      <c r="C112" s="27" t="s">
        <v>198</v>
      </c>
      <c r="D112" s="28" t="s">
        <v>199</v>
      </c>
      <c r="E112" s="29" t="s">
        <v>228</v>
      </c>
      <c r="F112" s="30">
        <v>170793</v>
      </c>
      <c r="G112" s="31">
        <f t="shared" si="41"/>
        <v>0.75001317407342349</v>
      </c>
      <c r="H112" s="32">
        <v>227720</v>
      </c>
      <c r="I112" s="33">
        <v>221554</v>
      </c>
      <c r="J112" s="34">
        <f t="shared" si="44"/>
        <v>0.97292288775689439</v>
      </c>
      <c r="K112" s="35">
        <f t="shared" si="42"/>
        <v>221554</v>
      </c>
      <c r="L112" s="30">
        <f>SUM(M112:Q112)</f>
        <v>221554</v>
      </c>
      <c r="M112" s="30">
        <v>221554</v>
      </c>
      <c r="N112" s="30"/>
      <c r="O112" s="30"/>
      <c r="P112" s="30"/>
      <c r="Q112" s="30"/>
      <c r="R112" s="30"/>
      <c r="S112" s="30">
        <f>SUM(T112:AC112)</f>
        <v>0</v>
      </c>
      <c r="T112" s="30"/>
      <c r="U112" s="30"/>
      <c r="V112" s="30"/>
      <c r="W112" s="30"/>
      <c r="X112" s="30"/>
      <c r="Y112" s="30"/>
      <c r="Z112" s="30"/>
      <c r="AA112" s="30"/>
      <c r="AB112" s="30"/>
      <c r="AC112" s="30"/>
    </row>
    <row r="113" spans="1:29" x14ac:dyDescent="0.2">
      <c r="A113" s="885" t="s">
        <v>229</v>
      </c>
      <c r="B113" s="13"/>
      <c r="C113" s="13"/>
      <c r="D113" s="14" t="s">
        <v>230</v>
      </c>
      <c r="E113" s="15">
        <f>E114+E121+E124+E130+E133+E135</f>
        <v>2303318.34</v>
      </c>
      <c r="F113" s="15">
        <f t="shared" ref="F113:AC113" si="53">F114+F121+F124+F130+F133+F135</f>
        <v>1298277.55</v>
      </c>
      <c r="G113" s="16">
        <f t="shared" si="41"/>
        <v>0.56365528266492249</v>
      </c>
      <c r="H113" s="15">
        <f t="shared" si="53"/>
        <v>2127353.2000000002</v>
      </c>
      <c r="I113" s="17">
        <f t="shared" si="53"/>
        <v>1882762.6</v>
      </c>
      <c r="J113" s="80">
        <f t="shared" si="44"/>
        <v>0.81741310669197387</v>
      </c>
      <c r="K113" s="878">
        <f t="shared" si="42"/>
        <v>1882762.6</v>
      </c>
      <c r="L113" s="84">
        <f>L114+L121+L124+L130+L133+L135</f>
        <v>1029782.6</v>
      </c>
      <c r="M113" s="15">
        <f t="shared" si="53"/>
        <v>1029782.6</v>
      </c>
      <c r="N113" s="15">
        <f t="shared" si="53"/>
        <v>0</v>
      </c>
      <c r="O113" s="15">
        <f t="shared" si="53"/>
        <v>0</v>
      </c>
      <c r="P113" s="15">
        <f t="shared" si="53"/>
        <v>0</v>
      </c>
      <c r="Q113" s="15">
        <f t="shared" si="53"/>
        <v>0</v>
      </c>
      <c r="R113" s="15">
        <f t="shared" si="53"/>
        <v>0</v>
      </c>
      <c r="S113" s="15">
        <f t="shared" si="53"/>
        <v>852980</v>
      </c>
      <c r="T113" s="15">
        <f t="shared" si="53"/>
        <v>110400</v>
      </c>
      <c r="U113" s="15">
        <f t="shared" si="53"/>
        <v>194600</v>
      </c>
      <c r="V113" s="15">
        <f t="shared" si="53"/>
        <v>0</v>
      </c>
      <c r="W113" s="15">
        <f t="shared" si="53"/>
        <v>5000</v>
      </c>
      <c r="X113" s="15">
        <f t="shared" si="53"/>
        <v>5000</v>
      </c>
      <c r="Y113" s="15">
        <f t="shared" si="53"/>
        <v>0</v>
      </c>
      <c r="Z113" s="15">
        <f t="shared" si="53"/>
        <v>204000</v>
      </c>
      <c r="AA113" s="15">
        <f t="shared" si="53"/>
        <v>173440</v>
      </c>
      <c r="AB113" s="15">
        <f t="shared" si="53"/>
        <v>160540</v>
      </c>
      <c r="AC113" s="18">
        <f t="shared" si="53"/>
        <v>0</v>
      </c>
    </row>
    <row r="114" spans="1:29" ht="15" x14ac:dyDescent="0.2">
      <c r="A114" s="887"/>
      <c r="B114" s="19" t="s">
        <v>231</v>
      </c>
      <c r="C114" s="127"/>
      <c r="D114" s="128" t="s">
        <v>232</v>
      </c>
      <c r="E114" s="129">
        <f>E116+E117+E118+E119+E115+E120</f>
        <v>115776.81</v>
      </c>
      <c r="F114" s="129">
        <f>F116+F117+F118+F119+F115+F120</f>
        <v>111358.76</v>
      </c>
      <c r="G114" s="130">
        <f t="shared" si="41"/>
        <v>0.96183994013999863</v>
      </c>
      <c r="H114" s="129">
        <f>H116+H117+H118+H119+H115+H120</f>
        <v>120039.76000000001</v>
      </c>
      <c r="I114" s="131">
        <f>I116+I117+I118+I119+I115+I120</f>
        <v>383400</v>
      </c>
      <c r="J114" s="37">
        <f t="shared" si="44"/>
        <v>3.311543995727642</v>
      </c>
      <c r="K114" s="870">
        <f t="shared" si="42"/>
        <v>383400</v>
      </c>
      <c r="L114" s="132">
        <f>L116+L118+L119+L120</f>
        <v>348400</v>
      </c>
      <c r="M114" s="132">
        <f>M116+M117+M118+M119+M115+M120</f>
        <v>348400</v>
      </c>
      <c r="N114" s="132">
        <f t="shared" ref="N114:AC114" si="54">N116+N117+N118+N119+N115</f>
        <v>0</v>
      </c>
      <c r="O114" s="132">
        <f t="shared" si="54"/>
        <v>0</v>
      </c>
      <c r="P114" s="132">
        <f t="shared" si="54"/>
        <v>0</v>
      </c>
      <c r="Q114" s="132">
        <f t="shared" si="54"/>
        <v>0</v>
      </c>
      <c r="R114" s="132">
        <f t="shared" si="54"/>
        <v>0</v>
      </c>
      <c r="S114" s="132">
        <f t="shared" si="54"/>
        <v>35000</v>
      </c>
      <c r="T114" s="132">
        <f t="shared" si="54"/>
        <v>5000</v>
      </c>
      <c r="U114" s="132">
        <f t="shared" si="54"/>
        <v>20000</v>
      </c>
      <c r="V114" s="132">
        <f t="shared" si="54"/>
        <v>0</v>
      </c>
      <c r="W114" s="132">
        <f t="shared" si="54"/>
        <v>5000</v>
      </c>
      <c r="X114" s="132">
        <f t="shared" si="54"/>
        <v>5000</v>
      </c>
      <c r="Y114" s="132">
        <f t="shared" si="54"/>
        <v>0</v>
      </c>
      <c r="Z114" s="132">
        <f t="shared" si="54"/>
        <v>0</v>
      </c>
      <c r="AA114" s="132">
        <f t="shared" si="54"/>
        <v>0</v>
      </c>
      <c r="AB114" s="132">
        <f t="shared" si="54"/>
        <v>0</v>
      </c>
      <c r="AC114" s="132">
        <f t="shared" si="54"/>
        <v>0</v>
      </c>
    </row>
    <row r="115" spans="1:29" s="136" customFormat="1" ht="22.5" hidden="1" x14ac:dyDescent="0.2">
      <c r="A115" s="893"/>
      <c r="B115" s="134"/>
      <c r="C115" s="109" t="s">
        <v>73</v>
      </c>
      <c r="D115" s="110" t="s">
        <v>74</v>
      </c>
      <c r="E115" s="111">
        <v>0</v>
      </c>
      <c r="F115" s="112">
        <v>0</v>
      </c>
      <c r="G115" s="113">
        <v>0</v>
      </c>
      <c r="H115" s="114">
        <v>0</v>
      </c>
      <c r="I115" s="135">
        <v>0</v>
      </c>
      <c r="J115" s="116">
        <v>0</v>
      </c>
      <c r="K115" s="88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</row>
    <row r="116" spans="1:29" ht="45" x14ac:dyDescent="0.2">
      <c r="A116" s="889"/>
      <c r="B116" s="26"/>
      <c r="C116" s="118" t="s">
        <v>42</v>
      </c>
      <c r="D116" s="119" t="s">
        <v>43</v>
      </c>
      <c r="E116" s="120" t="s">
        <v>233</v>
      </c>
      <c r="F116" s="121">
        <v>26044</v>
      </c>
      <c r="G116" s="137">
        <f t="shared" si="41"/>
        <v>0.84012903225806457</v>
      </c>
      <c r="H116" s="122">
        <v>34725</v>
      </c>
      <c r="I116" s="138">
        <v>35000</v>
      </c>
      <c r="J116" s="139">
        <f t="shared" si="44"/>
        <v>1.1290322580645162</v>
      </c>
      <c r="K116" s="882">
        <f t="shared" si="42"/>
        <v>35000</v>
      </c>
      <c r="L116" s="124">
        <f>SUM(M116:Q116)</f>
        <v>0</v>
      </c>
      <c r="M116" s="124"/>
      <c r="N116" s="124"/>
      <c r="O116" s="124"/>
      <c r="P116" s="124"/>
      <c r="Q116" s="124"/>
      <c r="R116" s="124"/>
      <c r="S116" s="124">
        <f>SUM(T116:AC116)</f>
        <v>35000</v>
      </c>
      <c r="T116" s="124">
        <v>5000</v>
      </c>
      <c r="U116" s="124">
        <v>20000</v>
      </c>
      <c r="V116" s="124"/>
      <c r="W116" s="124">
        <v>5000</v>
      </c>
      <c r="X116" s="124">
        <v>5000</v>
      </c>
      <c r="Y116" s="124"/>
      <c r="Z116" s="124"/>
      <c r="AA116" s="124"/>
      <c r="AB116" s="124"/>
      <c r="AC116" s="124"/>
    </row>
    <row r="117" spans="1:29" hidden="1" x14ac:dyDescent="0.2">
      <c r="A117" s="889"/>
      <c r="B117" s="26"/>
      <c r="C117" s="27" t="s">
        <v>45</v>
      </c>
      <c r="D117" s="28" t="s">
        <v>46</v>
      </c>
      <c r="E117" s="29" t="s">
        <v>39</v>
      </c>
      <c r="F117" s="125"/>
      <c r="G117" s="140" t="e">
        <f t="shared" si="41"/>
        <v>#DIV/0!</v>
      </c>
      <c r="H117" s="126"/>
      <c r="I117" s="141">
        <v>0</v>
      </c>
      <c r="J117" s="34" t="e">
        <f t="shared" si="44"/>
        <v>#DIV/0!</v>
      </c>
      <c r="K117" s="869">
        <f t="shared" si="42"/>
        <v>0</v>
      </c>
      <c r="L117" s="30">
        <f>SUM(M117:Q117)</f>
        <v>0</v>
      </c>
      <c r="M117" s="30"/>
      <c r="N117" s="30"/>
      <c r="O117" s="30"/>
      <c r="P117" s="30"/>
      <c r="Q117" s="30"/>
      <c r="R117" s="30"/>
      <c r="S117" s="30">
        <f>SUM(T117:AC117)</f>
        <v>0</v>
      </c>
      <c r="T117" s="30"/>
      <c r="U117" s="30"/>
      <c r="V117" s="30"/>
      <c r="W117" s="30"/>
      <c r="X117" s="30"/>
      <c r="Y117" s="30"/>
      <c r="Z117" s="30"/>
      <c r="AA117" s="30"/>
      <c r="AB117" s="30"/>
      <c r="AC117" s="30"/>
    </row>
    <row r="118" spans="1:29" x14ac:dyDescent="0.2">
      <c r="A118" s="889"/>
      <c r="B118" s="26"/>
      <c r="C118" s="27" t="s">
        <v>114</v>
      </c>
      <c r="D118" s="28" t="s">
        <v>115</v>
      </c>
      <c r="E118" s="29" t="s">
        <v>234</v>
      </c>
      <c r="F118" s="125">
        <v>1314.76</v>
      </c>
      <c r="G118" s="140">
        <f t="shared" si="41"/>
        <v>1.6925116823933781</v>
      </c>
      <c r="H118" s="126">
        <v>1314.76</v>
      </c>
      <c r="I118" s="141">
        <v>0</v>
      </c>
      <c r="J118" s="34">
        <f t="shared" si="44"/>
        <v>0</v>
      </c>
      <c r="K118" s="869">
        <f t="shared" si="42"/>
        <v>0</v>
      </c>
      <c r="L118" s="30">
        <f>SUM(M118:Q118)</f>
        <v>0</v>
      </c>
      <c r="M118" s="30"/>
      <c r="N118" s="30"/>
      <c r="O118" s="30"/>
      <c r="P118" s="30"/>
      <c r="Q118" s="30"/>
      <c r="R118" s="30"/>
      <c r="S118" s="30">
        <f>SUM(T118:AC118)</f>
        <v>0</v>
      </c>
      <c r="T118" s="30"/>
      <c r="U118" s="30"/>
      <c r="V118" s="30"/>
      <c r="W118" s="30"/>
      <c r="X118" s="30"/>
      <c r="Y118" s="30"/>
      <c r="Z118" s="30"/>
      <c r="AA118" s="30"/>
      <c r="AB118" s="30"/>
      <c r="AC118" s="30"/>
    </row>
    <row r="119" spans="1:29" ht="33.75" x14ac:dyDescent="0.2">
      <c r="A119" s="889"/>
      <c r="B119" s="26"/>
      <c r="C119" s="899" t="s">
        <v>215</v>
      </c>
      <c r="D119" s="900" t="s">
        <v>216</v>
      </c>
      <c r="E119" s="901" t="s">
        <v>235</v>
      </c>
      <c r="F119" s="125">
        <v>84000</v>
      </c>
      <c r="G119" s="923">
        <f t="shared" si="41"/>
        <v>1</v>
      </c>
      <c r="H119" s="126">
        <v>84000</v>
      </c>
      <c r="I119" s="141">
        <v>0</v>
      </c>
      <c r="J119" s="34">
        <f t="shared" si="44"/>
        <v>0</v>
      </c>
      <c r="K119" s="869">
        <f t="shared" si="42"/>
        <v>0</v>
      </c>
      <c r="L119" s="30">
        <f>SUM(M119:Q119)</f>
        <v>0</v>
      </c>
      <c r="M119" s="30"/>
      <c r="N119" s="30"/>
      <c r="O119" s="30"/>
      <c r="P119" s="30"/>
      <c r="Q119" s="30"/>
      <c r="R119" s="30"/>
      <c r="S119" s="30">
        <f>SUM(T119:AC119)</f>
        <v>0</v>
      </c>
      <c r="T119" s="30"/>
      <c r="U119" s="30"/>
      <c r="V119" s="30"/>
      <c r="W119" s="30"/>
      <c r="X119" s="30"/>
      <c r="Y119" s="30"/>
      <c r="Z119" s="30"/>
      <c r="AA119" s="30"/>
      <c r="AB119" s="30"/>
      <c r="AC119" s="30"/>
    </row>
    <row r="120" spans="1:29" ht="33.75" x14ac:dyDescent="0.2">
      <c r="A120" s="889"/>
      <c r="B120" s="26"/>
      <c r="C120" s="118" t="s">
        <v>236</v>
      </c>
      <c r="D120" s="921" t="s">
        <v>237</v>
      </c>
      <c r="E120" s="922">
        <v>0</v>
      </c>
      <c r="F120" s="121">
        <v>0</v>
      </c>
      <c r="G120" s="895">
        <v>0</v>
      </c>
      <c r="H120" s="142">
        <v>0</v>
      </c>
      <c r="I120" s="143">
        <f>K120</f>
        <v>348400</v>
      </c>
      <c r="J120" s="139">
        <v>0</v>
      </c>
      <c r="K120" s="869">
        <f t="shared" si="42"/>
        <v>348400</v>
      </c>
      <c r="L120" s="30">
        <f>SUM(M120:Q120)</f>
        <v>348400</v>
      </c>
      <c r="M120" s="30">
        <v>348400</v>
      </c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</row>
    <row r="121" spans="1:29" ht="15" x14ac:dyDescent="0.2">
      <c r="A121" s="887"/>
      <c r="B121" s="19" t="s">
        <v>238</v>
      </c>
      <c r="C121" s="20"/>
      <c r="D121" s="21" t="s">
        <v>239</v>
      </c>
      <c r="E121" s="86">
        <f>E122+E123</f>
        <v>80830</v>
      </c>
      <c r="F121" s="86">
        <f t="shared" ref="F121:AC121" si="55">F122+F123</f>
        <v>60624</v>
      </c>
      <c r="G121" s="87">
        <f t="shared" si="41"/>
        <v>0.75001855746628732</v>
      </c>
      <c r="H121" s="22">
        <f t="shared" si="55"/>
        <v>80830</v>
      </c>
      <c r="I121" s="24">
        <f t="shared" si="55"/>
        <v>106628</v>
      </c>
      <c r="J121" s="37">
        <f t="shared" si="44"/>
        <v>1.3191636768526538</v>
      </c>
      <c r="K121" s="870">
        <f t="shared" si="42"/>
        <v>106628</v>
      </c>
      <c r="L121" s="90">
        <f t="shared" si="55"/>
        <v>106628</v>
      </c>
      <c r="M121" s="86">
        <f t="shared" si="55"/>
        <v>106628</v>
      </c>
      <c r="N121" s="86">
        <f t="shared" si="55"/>
        <v>0</v>
      </c>
      <c r="O121" s="86">
        <f t="shared" si="55"/>
        <v>0</v>
      </c>
      <c r="P121" s="86">
        <f t="shared" si="55"/>
        <v>0</v>
      </c>
      <c r="Q121" s="86">
        <f t="shared" si="55"/>
        <v>0</v>
      </c>
      <c r="R121" s="86">
        <f t="shared" si="55"/>
        <v>0</v>
      </c>
      <c r="S121" s="86">
        <f t="shared" si="55"/>
        <v>0</v>
      </c>
      <c r="T121" s="86">
        <f t="shared" si="55"/>
        <v>0</v>
      </c>
      <c r="U121" s="86">
        <f t="shared" si="55"/>
        <v>0</v>
      </c>
      <c r="V121" s="86">
        <f t="shared" si="55"/>
        <v>0</v>
      </c>
      <c r="W121" s="86">
        <f t="shared" si="55"/>
        <v>0</v>
      </c>
      <c r="X121" s="86">
        <f t="shared" si="55"/>
        <v>0</v>
      </c>
      <c r="Y121" s="86">
        <f t="shared" si="55"/>
        <v>0</v>
      </c>
      <c r="Z121" s="86">
        <f t="shared" si="55"/>
        <v>0</v>
      </c>
      <c r="AA121" s="86">
        <f t="shared" si="55"/>
        <v>0</v>
      </c>
      <c r="AB121" s="86">
        <f t="shared" si="55"/>
        <v>0</v>
      </c>
      <c r="AC121" s="99">
        <f t="shared" si="55"/>
        <v>0</v>
      </c>
    </row>
    <row r="122" spans="1:29" hidden="1" x14ac:dyDescent="0.2">
      <c r="A122" s="889"/>
      <c r="B122" s="26"/>
      <c r="C122" s="27" t="s">
        <v>99</v>
      </c>
      <c r="D122" s="28" t="s">
        <v>100</v>
      </c>
      <c r="E122" s="29" t="s">
        <v>39</v>
      </c>
      <c r="F122" s="30">
        <v>0</v>
      </c>
      <c r="G122" s="31">
        <v>0</v>
      </c>
      <c r="H122" s="32">
        <v>0</v>
      </c>
      <c r="I122" s="33">
        <v>0</v>
      </c>
      <c r="J122" s="34">
        <v>0</v>
      </c>
      <c r="K122" s="35">
        <f t="shared" si="42"/>
        <v>0</v>
      </c>
      <c r="L122" s="30">
        <f>SUM(M122:Q122)</f>
        <v>0</v>
      </c>
      <c r="M122" s="30"/>
      <c r="N122" s="30"/>
      <c r="O122" s="30"/>
      <c r="P122" s="30"/>
      <c r="Q122" s="30"/>
      <c r="R122" s="30"/>
      <c r="S122" s="30">
        <f>SUM(T122:AC122)</f>
        <v>0</v>
      </c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spans="1:29" ht="33.75" x14ac:dyDescent="0.2">
      <c r="A123" s="889"/>
      <c r="B123" s="26"/>
      <c r="C123" s="27" t="s">
        <v>215</v>
      </c>
      <c r="D123" s="28" t="s">
        <v>216</v>
      </c>
      <c r="E123" s="29" t="s">
        <v>240</v>
      </c>
      <c r="F123" s="30">
        <v>60624</v>
      </c>
      <c r="G123" s="31">
        <f t="shared" si="41"/>
        <v>0.75001855746628732</v>
      </c>
      <c r="H123" s="32">
        <v>80830</v>
      </c>
      <c r="I123" s="33">
        <v>106628</v>
      </c>
      <c r="J123" s="34">
        <f t="shared" si="44"/>
        <v>1.3191636768526538</v>
      </c>
      <c r="K123" s="869">
        <f t="shared" si="42"/>
        <v>106628</v>
      </c>
      <c r="L123" s="30">
        <f>SUM(M123:Q123)</f>
        <v>106628</v>
      </c>
      <c r="M123" s="30">
        <v>106628</v>
      </c>
      <c r="N123" s="30"/>
      <c r="O123" s="30"/>
      <c r="P123" s="30"/>
      <c r="Q123" s="30"/>
      <c r="R123" s="30"/>
      <c r="S123" s="30">
        <f>SUM(T123:AC123)</f>
        <v>0</v>
      </c>
      <c r="T123" s="30"/>
      <c r="U123" s="30"/>
      <c r="V123" s="30"/>
      <c r="W123" s="30"/>
      <c r="X123" s="30"/>
      <c r="Y123" s="30"/>
      <c r="Z123" s="30"/>
      <c r="AA123" s="30"/>
      <c r="AB123" s="30"/>
      <c r="AC123" s="30"/>
    </row>
    <row r="124" spans="1:29" ht="15" x14ac:dyDescent="0.2">
      <c r="A124" s="887"/>
      <c r="B124" s="903" t="s">
        <v>241</v>
      </c>
      <c r="C124" s="127"/>
      <c r="D124" s="128" t="s">
        <v>242</v>
      </c>
      <c r="E124" s="129">
        <f>E125+E126+E127+E128+E129</f>
        <v>1044120</v>
      </c>
      <c r="F124" s="129">
        <f t="shared" ref="F124:AC124" si="56">F125+F126+F127+F128+F129</f>
        <v>681031.76</v>
      </c>
      <c r="G124" s="130">
        <f t="shared" si="41"/>
        <v>0.65225430027199938</v>
      </c>
      <c r="H124" s="129">
        <f t="shared" si="56"/>
        <v>950328.44</v>
      </c>
      <c r="I124" s="131">
        <f t="shared" si="56"/>
        <v>1066045</v>
      </c>
      <c r="J124" s="37">
        <f t="shared" si="44"/>
        <v>1.0209985442286327</v>
      </c>
      <c r="K124" s="870">
        <f t="shared" si="42"/>
        <v>1066045</v>
      </c>
      <c r="L124" s="38">
        <f t="shared" si="56"/>
        <v>528065</v>
      </c>
      <c r="M124" s="22">
        <f t="shared" si="56"/>
        <v>528065</v>
      </c>
      <c r="N124" s="22">
        <f t="shared" si="56"/>
        <v>0</v>
      </c>
      <c r="O124" s="22">
        <f t="shared" si="56"/>
        <v>0</v>
      </c>
      <c r="P124" s="22">
        <f t="shared" si="56"/>
        <v>0</v>
      </c>
      <c r="Q124" s="22">
        <f t="shared" si="56"/>
        <v>0</v>
      </c>
      <c r="R124" s="22">
        <f t="shared" si="56"/>
        <v>0</v>
      </c>
      <c r="S124" s="22">
        <f t="shared" si="56"/>
        <v>537980</v>
      </c>
      <c r="T124" s="22">
        <f t="shared" si="56"/>
        <v>0</v>
      </c>
      <c r="U124" s="22">
        <f t="shared" si="56"/>
        <v>0</v>
      </c>
      <c r="V124" s="22">
        <f t="shared" si="56"/>
        <v>0</v>
      </c>
      <c r="W124" s="22">
        <f t="shared" si="56"/>
        <v>0</v>
      </c>
      <c r="X124" s="22">
        <f t="shared" si="56"/>
        <v>0</v>
      </c>
      <c r="Y124" s="22">
        <f t="shared" si="56"/>
        <v>0</v>
      </c>
      <c r="Z124" s="22">
        <f t="shared" si="56"/>
        <v>204000</v>
      </c>
      <c r="AA124" s="22">
        <f t="shared" si="56"/>
        <v>173440</v>
      </c>
      <c r="AB124" s="22">
        <f t="shared" si="56"/>
        <v>160540</v>
      </c>
      <c r="AC124" s="25">
        <f t="shared" si="56"/>
        <v>0</v>
      </c>
    </row>
    <row r="125" spans="1:29" ht="22.5" x14ac:dyDescent="0.2">
      <c r="A125" s="889"/>
      <c r="B125" s="26"/>
      <c r="C125" s="118" t="s">
        <v>243</v>
      </c>
      <c r="D125" s="119" t="s">
        <v>244</v>
      </c>
      <c r="E125" s="120" t="s">
        <v>245</v>
      </c>
      <c r="F125" s="124">
        <v>55546</v>
      </c>
      <c r="G125" s="96">
        <f t="shared" si="41"/>
        <v>0.50131768953068589</v>
      </c>
      <c r="H125" s="902">
        <v>89352</v>
      </c>
      <c r="I125" s="123">
        <v>95260</v>
      </c>
      <c r="J125" s="139">
        <f t="shared" si="44"/>
        <v>0.85974729241877257</v>
      </c>
      <c r="K125" s="869">
        <f t="shared" si="42"/>
        <v>95260</v>
      </c>
      <c r="L125" s="30">
        <f>SUM(M125:Q125)</f>
        <v>0</v>
      </c>
      <c r="M125" s="30"/>
      <c r="N125" s="30"/>
      <c r="O125" s="30"/>
      <c r="P125" s="30"/>
      <c r="Q125" s="30"/>
      <c r="R125" s="30"/>
      <c r="S125" s="30">
        <f>SUM(T125:AC125)</f>
        <v>95260</v>
      </c>
      <c r="T125" s="30"/>
      <c r="U125" s="30"/>
      <c r="V125" s="30"/>
      <c r="W125" s="30"/>
      <c r="X125" s="30"/>
      <c r="Y125" s="30"/>
      <c r="Z125" s="30">
        <v>30000</v>
      </c>
      <c r="AA125" s="30">
        <v>30000</v>
      </c>
      <c r="AB125" s="30">
        <v>35260</v>
      </c>
      <c r="AC125" s="30"/>
    </row>
    <row r="126" spans="1:29" ht="33.75" x14ac:dyDescent="0.2">
      <c r="A126" s="889"/>
      <c r="B126" s="26"/>
      <c r="C126" s="27" t="s">
        <v>246</v>
      </c>
      <c r="D126" s="28" t="s">
        <v>247</v>
      </c>
      <c r="E126" s="29" t="s">
        <v>248</v>
      </c>
      <c r="F126" s="30">
        <v>240501.5</v>
      </c>
      <c r="G126" s="31">
        <f t="shared" si="41"/>
        <v>0.5695173932605555</v>
      </c>
      <c r="H126" s="32">
        <v>343574</v>
      </c>
      <c r="I126" s="33">
        <v>434430</v>
      </c>
      <c r="J126" s="34">
        <f t="shared" si="44"/>
        <v>1.0287480167657297</v>
      </c>
      <c r="K126" s="869">
        <f t="shared" si="42"/>
        <v>434430</v>
      </c>
      <c r="L126" s="30">
        <f>SUM(M126:Q126)</f>
        <v>0</v>
      </c>
      <c r="M126" s="30"/>
      <c r="N126" s="30"/>
      <c r="O126" s="30"/>
      <c r="P126" s="30"/>
      <c r="Q126" s="30"/>
      <c r="R126" s="30"/>
      <c r="S126" s="30">
        <f>SUM(T126:AC126)</f>
        <v>434430</v>
      </c>
      <c r="T126" s="30"/>
      <c r="U126" s="30"/>
      <c r="V126" s="30"/>
      <c r="W126" s="30"/>
      <c r="X126" s="30"/>
      <c r="Y126" s="30"/>
      <c r="Z126" s="30">
        <v>170000</v>
      </c>
      <c r="AA126" s="30">
        <v>142000</v>
      </c>
      <c r="AB126" s="30">
        <v>122430</v>
      </c>
      <c r="AC126" s="30"/>
    </row>
    <row r="127" spans="1:29" ht="45" x14ac:dyDescent="0.2">
      <c r="A127" s="889"/>
      <c r="B127" s="26"/>
      <c r="C127" s="27" t="s">
        <v>42</v>
      </c>
      <c r="D127" s="28" t="s">
        <v>43</v>
      </c>
      <c r="E127" s="29" t="s">
        <v>249</v>
      </c>
      <c r="F127" s="30">
        <v>3206.61</v>
      </c>
      <c r="G127" s="31">
        <f t="shared" si="41"/>
        <v>0.36480204778156999</v>
      </c>
      <c r="H127" s="32">
        <v>4275.4799999999996</v>
      </c>
      <c r="I127" s="33">
        <v>8290</v>
      </c>
      <c r="J127" s="34">
        <f t="shared" si="44"/>
        <v>0.94311717861205913</v>
      </c>
      <c r="K127" s="869">
        <f t="shared" si="42"/>
        <v>8290</v>
      </c>
      <c r="L127" s="30">
        <f>SUM(M127:Q127)</f>
        <v>0</v>
      </c>
      <c r="M127" s="30"/>
      <c r="N127" s="30"/>
      <c r="O127" s="30"/>
      <c r="P127" s="30"/>
      <c r="Q127" s="30"/>
      <c r="R127" s="30"/>
      <c r="S127" s="30">
        <f>SUM(T127:AC127)</f>
        <v>8290</v>
      </c>
      <c r="T127" s="30"/>
      <c r="U127" s="30"/>
      <c r="V127" s="30"/>
      <c r="W127" s="30"/>
      <c r="X127" s="30"/>
      <c r="Y127" s="30"/>
      <c r="Z127" s="30">
        <v>4000</v>
      </c>
      <c r="AA127" s="30">
        <v>1440</v>
      </c>
      <c r="AB127" s="30">
        <v>2850</v>
      </c>
      <c r="AC127" s="30"/>
    </row>
    <row r="128" spans="1:29" ht="33.75" x14ac:dyDescent="0.2">
      <c r="A128" s="889"/>
      <c r="B128" s="26"/>
      <c r="C128" s="27" t="s">
        <v>215</v>
      </c>
      <c r="D128" s="28" t="s">
        <v>216</v>
      </c>
      <c r="E128" s="29" t="s">
        <v>250</v>
      </c>
      <c r="F128" s="30">
        <v>361682</v>
      </c>
      <c r="G128" s="31">
        <f t="shared" si="41"/>
        <v>0.7500041473125415</v>
      </c>
      <c r="H128" s="32">
        <v>482240</v>
      </c>
      <c r="I128" s="33">
        <v>498065</v>
      </c>
      <c r="J128" s="34">
        <f t="shared" si="44"/>
        <v>1.0328156104844062</v>
      </c>
      <c r="K128" s="869">
        <f t="shared" si="42"/>
        <v>498065</v>
      </c>
      <c r="L128" s="30">
        <f>SUM(M128:Q128)</f>
        <v>498065</v>
      </c>
      <c r="M128" s="30">
        <v>498065</v>
      </c>
      <c r="N128" s="30"/>
      <c r="O128" s="30"/>
      <c r="P128" s="30"/>
      <c r="Q128" s="30"/>
      <c r="R128" s="30"/>
      <c r="S128" s="30">
        <f>SUM(T128:AC128)</f>
        <v>0</v>
      </c>
      <c r="T128" s="30"/>
      <c r="U128" s="30"/>
      <c r="V128" s="30"/>
      <c r="W128" s="30"/>
      <c r="X128" s="30"/>
      <c r="Y128" s="30"/>
      <c r="Z128" s="30"/>
      <c r="AA128" s="30"/>
      <c r="AB128" s="30"/>
      <c r="AC128" s="30"/>
    </row>
    <row r="129" spans="1:29" ht="33.75" x14ac:dyDescent="0.2">
      <c r="A129" s="889"/>
      <c r="B129" s="26"/>
      <c r="C129" s="27" t="s">
        <v>251</v>
      </c>
      <c r="D129" s="28" t="s">
        <v>252</v>
      </c>
      <c r="E129" s="29" t="s">
        <v>36</v>
      </c>
      <c r="F129" s="30">
        <v>20095.650000000001</v>
      </c>
      <c r="G129" s="31">
        <f t="shared" si="41"/>
        <v>1.0047825000000001</v>
      </c>
      <c r="H129" s="32">
        <v>30886.959999999999</v>
      </c>
      <c r="I129" s="33">
        <v>30000</v>
      </c>
      <c r="J129" s="34">
        <f t="shared" si="44"/>
        <v>1.5</v>
      </c>
      <c r="K129" s="869">
        <f t="shared" si="42"/>
        <v>30000</v>
      </c>
      <c r="L129" s="30">
        <f>SUM(M129:Q129)</f>
        <v>30000</v>
      </c>
      <c r="M129" s="30">
        <v>30000</v>
      </c>
      <c r="N129" s="30"/>
      <c r="O129" s="30"/>
      <c r="P129" s="30"/>
      <c r="Q129" s="30"/>
      <c r="R129" s="30"/>
      <c r="S129" s="30">
        <f>SUM(T129:AC129)</f>
        <v>0</v>
      </c>
      <c r="T129" s="30"/>
      <c r="U129" s="30"/>
      <c r="V129" s="30"/>
      <c r="W129" s="30"/>
      <c r="X129" s="30"/>
      <c r="Y129" s="30"/>
      <c r="Z129" s="30"/>
      <c r="AA129" s="30"/>
      <c r="AB129" s="30"/>
      <c r="AC129" s="30"/>
    </row>
    <row r="130" spans="1:29" ht="15" x14ac:dyDescent="0.2">
      <c r="A130" s="887"/>
      <c r="B130" s="19" t="s">
        <v>253</v>
      </c>
      <c r="C130" s="20"/>
      <c r="D130" s="21" t="s">
        <v>254</v>
      </c>
      <c r="E130" s="22">
        <f>E131+E132</f>
        <v>318000</v>
      </c>
      <c r="F130" s="22">
        <f t="shared" ref="F130:AC130" si="57">F131+F132</f>
        <v>165509.5</v>
      </c>
      <c r="G130" s="23">
        <f t="shared" si="41"/>
        <v>0.52047012578616347</v>
      </c>
      <c r="H130" s="22">
        <f t="shared" si="57"/>
        <v>238370.71</v>
      </c>
      <c r="I130" s="24">
        <f t="shared" si="57"/>
        <v>280000</v>
      </c>
      <c r="J130" s="37">
        <f t="shared" si="44"/>
        <v>0.88050314465408808</v>
      </c>
      <c r="K130" s="870">
        <f t="shared" si="42"/>
        <v>280000</v>
      </c>
      <c r="L130" s="38">
        <f t="shared" si="57"/>
        <v>0</v>
      </c>
      <c r="M130" s="22">
        <f t="shared" si="57"/>
        <v>0</v>
      </c>
      <c r="N130" s="22">
        <f t="shared" si="57"/>
        <v>0</v>
      </c>
      <c r="O130" s="22">
        <f t="shared" si="57"/>
        <v>0</v>
      </c>
      <c r="P130" s="22">
        <f t="shared" si="57"/>
        <v>0</v>
      </c>
      <c r="Q130" s="22">
        <f t="shared" si="57"/>
        <v>0</v>
      </c>
      <c r="R130" s="22">
        <f t="shared" si="57"/>
        <v>0</v>
      </c>
      <c r="S130" s="22">
        <f t="shared" si="57"/>
        <v>280000</v>
      </c>
      <c r="T130" s="22">
        <f t="shared" si="57"/>
        <v>105400</v>
      </c>
      <c r="U130" s="22">
        <f t="shared" si="57"/>
        <v>174600</v>
      </c>
      <c r="V130" s="22">
        <f t="shared" si="57"/>
        <v>0</v>
      </c>
      <c r="W130" s="22">
        <f t="shared" si="57"/>
        <v>0</v>
      </c>
      <c r="X130" s="22">
        <f t="shared" si="57"/>
        <v>0</v>
      </c>
      <c r="Y130" s="22">
        <f t="shared" si="57"/>
        <v>0</v>
      </c>
      <c r="Z130" s="22">
        <f t="shared" si="57"/>
        <v>0</v>
      </c>
      <c r="AA130" s="22">
        <f t="shared" si="57"/>
        <v>0</v>
      </c>
      <c r="AB130" s="22">
        <f t="shared" si="57"/>
        <v>0</v>
      </c>
      <c r="AC130" s="25">
        <f t="shared" si="57"/>
        <v>0</v>
      </c>
    </row>
    <row r="131" spans="1:29" x14ac:dyDescent="0.2">
      <c r="A131" s="889"/>
      <c r="B131" s="26"/>
      <c r="C131" s="27" t="s">
        <v>99</v>
      </c>
      <c r="D131" s="28" t="s">
        <v>100</v>
      </c>
      <c r="E131" s="29" t="s">
        <v>255</v>
      </c>
      <c r="F131" s="30">
        <v>154259.5</v>
      </c>
      <c r="G131" s="31">
        <f t="shared" si="41"/>
        <v>0.51419833333333331</v>
      </c>
      <c r="H131" s="32">
        <v>220370.71</v>
      </c>
      <c r="I131" s="33">
        <v>262000</v>
      </c>
      <c r="J131" s="34">
        <f t="shared" si="44"/>
        <v>0.87333333333333329</v>
      </c>
      <c r="K131" s="35">
        <f t="shared" si="42"/>
        <v>262000</v>
      </c>
      <c r="L131" s="30">
        <f>SUM(M131:Q131)</f>
        <v>0</v>
      </c>
      <c r="M131" s="30"/>
      <c r="N131" s="30"/>
      <c r="O131" s="30"/>
      <c r="P131" s="30"/>
      <c r="Q131" s="30"/>
      <c r="R131" s="30"/>
      <c r="S131" s="30">
        <f>SUM(T131:AC131)</f>
        <v>262000</v>
      </c>
      <c r="T131" s="30">
        <v>100000</v>
      </c>
      <c r="U131" s="30">
        <v>162000</v>
      </c>
      <c r="V131" s="30"/>
      <c r="W131" s="30"/>
      <c r="X131" s="30"/>
      <c r="Y131" s="30"/>
      <c r="Z131" s="30"/>
      <c r="AA131" s="30"/>
      <c r="AB131" s="30"/>
      <c r="AC131" s="30"/>
    </row>
    <row r="132" spans="1:29" ht="45" x14ac:dyDescent="0.2">
      <c r="A132" s="889"/>
      <c r="B132" s="26"/>
      <c r="C132" s="27" t="s">
        <v>256</v>
      </c>
      <c r="D132" s="28" t="s">
        <v>257</v>
      </c>
      <c r="E132" s="29" t="s">
        <v>258</v>
      </c>
      <c r="F132" s="30">
        <v>11250</v>
      </c>
      <c r="G132" s="31">
        <f t="shared" si="41"/>
        <v>0.625</v>
      </c>
      <c r="H132" s="32">
        <v>18000</v>
      </c>
      <c r="I132" s="33">
        <v>18000</v>
      </c>
      <c r="J132" s="34">
        <f t="shared" si="44"/>
        <v>1</v>
      </c>
      <c r="K132" s="869">
        <f t="shared" si="42"/>
        <v>18000</v>
      </c>
      <c r="L132" s="30">
        <f>SUM(M132:Q132)</f>
        <v>0</v>
      </c>
      <c r="M132" s="30"/>
      <c r="N132" s="30"/>
      <c r="O132" s="30"/>
      <c r="P132" s="30"/>
      <c r="Q132" s="30"/>
      <c r="R132" s="30"/>
      <c r="S132" s="30">
        <f>SUM(T132:AC132)</f>
        <v>18000</v>
      </c>
      <c r="T132" s="30">
        <v>5400</v>
      </c>
      <c r="U132" s="30">
        <v>12600</v>
      </c>
      <c r="V132" s="30"/>
      <c r="W132" s="30"/>
      <c r="X132" s="30"/>
      <c r="Y132" s="30"/>
      <c r="Z132" s="30"/>
      <c r="AA132" s="30"/>
      <c r="AB132" s="30"/>
      <c r="AC132" s="30"/>
    </row>
    <row r="133" spans="1:29" ht="33.75" x14ac:dyDescent="0.2">
      <c r="A133" s="887"/>
      <c r="B133" s="19" t="s">
        <v>259</v>
      </c>
      <c r="C133" s="20"/>
      <c r="D133" s="21" t="s">
        <v>260</v>
      </c>
      <c r="E133" s="22" t="str">
        <f>E134</f>
        <v>209 834,49</v>
      </c>
      <c r="F133" s="22">
        <f t="shared" ref="F133:AC133" si="58">F134</f>
        <v>207804.69</v>
      </c>
      <c r="G133" s="23">
        <f t="shared" si="41"/>
        <v>0.99032666174183281</v>
      </c>
      <c r="H133" s="22">
        <f t="shared" si="58"/>
        <v>209834.49</v>
      </c>
      <c r="I133" s="24">
        <f t="shared" si="58"/>
        <v>0</v>
      </c>
      <c r="J133" s="37">
        <f t="shared" si="44"/>
        <v>0</v>
      </c>
      <c r="K133" s="870">
        <f t="shared" si="42"/>
        <v>0</v>
      </c>
      <c r="L133" s="38">
        <f t="shared" si="58"/>
        <v>0</v>
      </c>
      <c r="M133" s="22">
        <f t="shared" si="58"/>
        <v>0</v>
      </c>
      <c r="N133" s="22">
        <f t="shared" si="58"/>
        <v>0</v>
      </c>
      <c r="O133" s="22">
        <f t="shared" si="58"/>
        <v>0</v>
      </c>
      <c r="P133" s="22">
        <f t="shared" si="58"/>
        <v>0</v>
      </c>
      <c r="Q133" s="22">
        <f t="shared" si="58"/>
        <v>0</v>
      </c>
      <c r="R133" s="22">
        <f t="shared" si="58"/>
        <v>0</v>
      </c>
      <c r="S133" s="22">
        <f t="shared" si="58"/>
        <v>0</v>
      </c>
      <c r="T133" s="22">
        <f t="shared" si="58"/>
        <v>0</v>
      </c>
      <c r="U133" s="22">
        <f t="shared" si="58"/>
        <v>0</v>
      </c>
      <c r="V133" s="22">
        <f t="shared" si="58"/>
        <v>0</v>
      </c>
      <c r="W133" s="22">
        <f t="shared" si="58"/>
        <v>0</v>
      </c>
      <c r="X133" s="22">
        <f t="shared" si="58"/>
        <v>0</v>
      </c>
      <c r="Y133" s="22">
        <f t="shared" si="58"/>
        <v>0</v>
      </c>
      <c r="Z133" s="22">
        <f t="shared" si="58"/>
        <v>0</v>
      </c>
      <c r="AA133" s="22">
        <f t="shared" si="58"/>
        <v>0</v>
      </c>
      <c r="AB133" s="22">
        <f t="shared" si="58"/>
        <v>0</v>
      </c>
      <c r="AC133" s="25">
        <f t="shared" si="58"/>
        <v>0</v>
      </c>
    </row>
    <row r="134" spans="1:29" ht="45" x14ac:dyDescent="0.2">
      <c r="A134" s="889"/>
      <c r="B134" s="26"/>
      <c r="C134" s="27" t="s">
        <v>47</v>
      </c>
      <c r="D134" s="28" t="s">
        <v>48</v>
      </c>
      <c r="E134" s="29" t="s">
        <v>261</v>
      </c>
      <c r="F134" s="30">
        <v>207804.69</v>
      </c>
      <c r="G134" s="31">
        <f t="shared" si="41"/>
        <v>0.99032666174183281</v>
      </c>
      <c r="H134" s="32">
        <v>209834.49</v>
      </c>
      <c r="I134" s="33">
        <v>0</v>
      </c>
      <c r="J134" s="34">
        <f t="shared" si="44"/>
        <v>0</v>
      </c>
      <c r="K134" s="35">
        <f t="shared" si="42"/>
        <v>0</v>
      </c>
      <c r="L134" s="30">
        <f>SUM(M134:Q134)</f>
        <v>0</v>
      </c>
      <c r="M134" s="30"/>
      <c r="N134" s="30"/>
      <c r="O134" s="30"/>
      <c r="P134" s="30"/>
      <c r="Q134" s="30"/>
      <c r="R134" s="30"/>
      <c r="S134" s="30">
        <f>SUM(T134:AC134)</f>
        <v>0</v>
      </c>
      <c r="T134" s="30"/>
      <c r="U134" s="30"/>
      <c r="V134" s="30"/>
      <c r="W134" s="30"/>
      <c r="X134" s="30"/>
      <c r="Y134" s="30"/>
      <c r="Z134" s="30"/>
      <c r="AA134" s="30"/>
      <c r="AB134" s="30"/>
      <c r="AC134" s="30"/>
    </row>
    <row r="135" spans="1:29" ht="15" x14ac:dyDescent="0.2">
      <c r="A135" s="887"/>
      <c r="B135" s="19" t="s">
        <v>262</v>
      </c>
      <c r="C135" s="100"/>
      <c r="D135" s="101" t="s">
        <v>41</v>
      </c>
      <c r="E135" s="102">
        <f>E137+E138+E139+E140+E136+E141</f>
        <v>534757.03999999992</v>
      </c>
      <c r="F135" s="102">
        <f t="shared" ref="F135:I135" si="59">F137+F138+F139+F140+F136+F141</f>
        <v>71948.840000000011</v>
      </c>
      <c r="G135" s="103">
        <f>F135/E135</f>
        <v>0.13454491407911157</v>
      </c>
      <c r="H135" s="102">
        <f t="shared" si="59"/>
        <v>527949.80000000005</v>
      </c>
      <c r="I135" s="104">
        <f t="shared" si="59"/>
        <v>46689.599999999999</v>
      </c>
      <c r="J135" s="105">
        <f t="shared" si="44"/>
        <v>8.7309930506010741E-2</v>
      </c>
      <c r="K135" s="880">
        <f t="shared" si="42"/>
        <v>46689.599999999999</v>
      </c>
      <c r="L135" s="106">
        <f>L137+L138+L139+L140+L136+L141</f>
        <v>46689.599999999999</v>
      </c>
      <c r="M135" s="106">
        <f t="shared" ref="M135:AC135" si="60">M137+M138+M139+M140+M136+M141</f>
        <v>46689.599999999999</v>
      </c>
      <c r="N135" s="106">
        <f t="shared" si="60"/>
        <v>0</v>
      </c>
      <c r="O135" s="106">
        <f t="shared" si="60"/>
        <v>0</v>
      </c>
      <c r="P135" s="106">
        <f t="shared" si="60"/>
        <v>0</v>
      </c>
      <c r="Q135" s="106">
        <f t="shared" si="60"/>
        <v>0</v>
      </c>
      <c r="R135" s="106">
        <f t="shared" si="60"/>
        <v>0</v>
      </c>
      <c r="S135" s="106">
        <f t="shared" si="60"/>
        <v>0</v>
      </c>
      <c r="T135" s="106">
        <f t="shared" si="60"/>
        <v>0</v>
      </c>
      <c r="U135" s="106">
        <f t="shared" si="60"/>
        <v>0</v>
      </c>
      <c r="V135" s="106">
        <f t="shared" si="60"/>
        <v>0</v>
      </c>
      <c r="W135" s="106">
        <f t="shared" si="60"/>
        <v>0</v>
      </c>
      <c r="X135" s="106">
        <f t="shared" si="60"/>
        <v>0</v>
      </c>
      <c r="Y135" s="106">
        <f t="shared" si="60"/>
        <v>0</v>
      </c>
      <c r="Z135" s="106">
        <f t="shared" si="60"/>
        <v>0</v>
      </c>
      <c r="AA135" s="106">
        <f t="shared" si="60"/>
        <v>0</v>
      </c>
      <c r="AB135" s="106">
        <f t="shared" si="60"/>
        <v>0</v>
      </c>
      <c r="AC135" s="106">
        <f t="shared" si="60"/>
        <v>0</v>
      </c>
    </row>
    <row r="136" spans="1:29" s="136" customFormat="1" ht="11.25" x14ac:dyDescent="0.2">
      <c r="A136" s="893"/>
      <c r="B136" s="134"/>
      <c r="C136" s="109" t="s">
        <v>211</v>
      </c>
      <c r="D136" s="28" t="s">
        <v>212</v>
      </c>
      <c r="E136" s="111">
        <v>0</v>
      </c>
      <c r="F136" s="112">
        <v>2212.2800000000002</v>
      </c>
      <c r="G136" s="113">
        <v>0</v>
      </c>
      <c r="H136" s="114">
        <v>2212.2800000000002</v>
      </c>
      <c r="I136" s="135">
        <v>0</v>
      </c>
      <c r="J136" s="116">
        <v>0</v>
      </c>
      <c r="K136" s="88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1"/>
      <c r="AB136" s="111"/>
      <c r="AC136" s="111"/>
    </row>
    <row r="137" spans="1:29" ht="56.25" x14ac:dyDescent="0.2">
      <c r="A137" s="889"/>
      <c r="B137" s="26"/>
      <c r="C137" s="898" t="s">
        <v>263</v>
      </c>
      <c r="D137" s="905" t="s">
        <v>264</v>
      </c>
      <c r="E137" s="906" t="s">
        <v>265</v>
      </c>
      <c r="F137" s="121">
        <v>0</v>
      </c>
      <c r="G137" s="907">
        <f t="shared" si="41"/>
        <v>0</v>
      </c>
      <c r="H137" s="904">
        <v>151741</v>
      </c>
      <c r="I137" s="138">
        <v>6883.97</v>
      </c>
      <c r="J137" s="139">
        <f t="shared" si="44"/>
        <v>4.5366578577971675E-2</v>
      </c>
      <c r="K137" s="35">
        <f t="shared" si="42"/>
        <v>6883.97</v>
      </c>
      <c r="L137" s="124">
        <f>SUM(M137:Q137)</f>
        <v>6883.97</v>
      </c>
      <c r="M137" s="124">
        <v>6883.97</v>
      </c>
      <c r="N137" s="124"/>
      <c r="O137" s="124"/>
      <c r="P137" s="124"/>
      <c r="Q137" s="124"/>
      <c r="R137" s="124"/>
      <c r="S137" s="124">
        <f>SUM(T137:AC137)</f>
        <v>0</v>
      </c>
      <c r="T137" s="124"/>
      <c r="U137" s="124"/>
      <c r="V137" s="124"/>
      <c r="W137" s="124"/>
      <c r="X137" s="124"/>
      <c r="Y137" s="124"/>
      <c r="Z137" s="124"/>
      <c r="AA137" s="124"/>
      <c r="AB137" s="124"/>
      <c r="AC137" s="124"/>
    </row>
    <row r="138" spans="1:29" ht="56.25" x14ac:dyDescent="0.2">
      <c r="A138" s="889"/>
      <c r="B138" s="26"/>
      <c r="C138" s="118" t="s">
        <v>266</v>
      </c>
      <c r="D138" s="119" t="s">
        <v>264</v>
      </c>
      <c r="E138" s="120" t="s">
        <v>258</v>
      </c>
      <c r="F138" s="121">
        <v>18000</v>
      </c>
      <c r="G138" s="137">
        <f t="shared" si="41"/>
        <v>1</v>
      </c>
      <c r="H138" s="904">
        <v>18000</v>
      </c>
      <c r="I138" s="123">
        <v>808.25</v>
      </c>
      <c r="J138" s="139">
        <f t="shared" si="44"/>
        <v>4.4902777777777778E-2</v>
      </c>
      <c r="K138" s="869">
        <f t="shared" si="42"/>
        <v>808.25</v>
      </c>
      <c r="L138" s="30">
        <f>SUM(M138:Q138)</f>
        <v>808.25</v>
      </c>
      <c r="M138" s="30">
        <v>808.25</v>
      </c>
      <c r="N138" s="30"/>
      <c r="O138" s="30"/>
      <c r="P138" s="30"/>
      <c r="Q138" s="30"/>
      <c r="R138" s="30"/>
      <c r="S138" s="30">
        <f>SUM(T138:AC138)</f>
        <v>0</v>
      </c>
      <c r="T138" s="30"/>
      <c r="U138" s="30"/>
      <c r="V138" s="30"/>
      <c r="W138" s="30"/>
      <c r="X138" s="30"/>
      <c r="Y138" s="30"/>
      <c r="Z138" s="30"/>
      <c r="AA138" s="30"/>
      <c r="AB138" s="30"/>
      <c r="AC138" s="30"/>
    </row>
    <row r="139" spans="1:29" ht="56.25" x14ac:dyDescent="0.2">
      <c r="A139" s="889"/>
      <c r="B139" s="26"/>
      <c r="C139" s="27" t="s">
        <v>267</v>
      </c>
      <c r="D139" s="28" t="s">
        <v>268</v>
      </c>
      <c r="E139" s="29" t="s">
        <v>269</v>
      </c>
      <c r="F139" s="125">
        <v>10209.76</v>
      </c>
      <c r="G139" s="140">
        <f t="shared" si="41"/>
        <v>3.2466591696014485E-2</v>
      </c>
      <c r="H139" s="126">
        <v>314469.71999999997</v>
      </c>
      <c r="I139" s="33">
        <v>34930.86</v>
      </c>
      <c r="J139" s="34">
        <f t="shared" si="44"/>
        <v>0.11107861195666154</v>
      </c>
      <c r="K139" s="869">
        <f t="shared" si="42"/>
        <v>34930.86</v>
      </c>
      <c r="L139" s="30">
        <f>SUM(M139:Q139)</f>
        <v>34930.86</v>
      </c>
      <c r="M139" s="30">
        <f>34926.06+4.8</f>
        <v>34930.86</v>
      </c>
      <c r="N139" s="30"/>
      <c r="O139" s="30"/>
      <c r="P139" s="30"/>
      <c r="Q139" s="30"/>
      <c r="R139" s="30"/>
      <c r="S139" s="30">
        <f>SUM(T139:AC139)</f>
        <v>0</v>
      </c>
      <c r="T139" s="30"/>
      <c r="U139" s="30"/>
      <c r="V139" s="30"/>
      <c r="W139" s="30"/>
      <c r="X139" s="30"/>
      <c r="Y139" s="30"/>
      <c r="Z139" s="30"/>
      <c r="AA139" s="30"/>
      <c r="AB139" s="30"/>
      <c r="AC139" s="30"/>
    </row>
    <row r="140" spans="1:29" ht="56.25" x14ac:dyDescent="0.2">
      <c r="A140" s="889"/>
      <c r="B140" s="26"/>
      <c r="C140" s="40" t="s">
        <v>270</v>
      </c>
      <c r="D140" s="41" t="s">
        <v>268</v>
      </c>
      <c r="E140" s="42" t="s">
        <v>271</v>
      </c>
      <c r="F140" s="43">
        <v>51736.56</v>
      </c>
      <c r="G140" s="44">
        <f t="shared" si="41"/>
        <v>1.0235475104814751</v>
      </c>
      <c r="H140" s="45">
        <v>51736.56</v>
      </c>
      <c r="I140" s="46">
        <v>4066.52</v>
      </c>
      <c r="J140" s="47">
        <f t="shared" si="44"/>
        <v>8.0451356300518015E-2</v>
      </c>
      <c r="K140" s="879">
        <f t="shared" si="42"/>
        <v>4066.52</v>
      </c>
      <c r="L140" s="43">
        <f>SUM(M140:Q140)</f>
        <v>4066.52</v>
      </c>
      <c r="M140" s="43">
        <f>4071.32-4.8</f>
        <v>4066.52</v>
      </c>
      <c r="N140" s="43"/>
      <c r="O140" s="43"/>
      <c r="P140" s="43"/>
      <c r="Q140" s="43"/>
      <c r="R140" s="43"/>
      <c r="S140" s="43">
        <f>SUM(T140:AC140)</f>
        <v>0</v>
      </c>
      <c r="T140" s="43"/>
      <c r="U140" s="43"/>
      <c r="V140" s="43"/>
      <c r="W140" s="43"/>
      <c r="X140" s="43"/>
      <c r="Y140" s="43"/>
      <c r="Z140" s="43"/>
      <c r="AA140" s="43"/>
      <c r="AB140" s="43"/>
      <c r="AC140" s="43"/>
    </row>
    <row r="141" spans="1:29" ht="56.25" x14ac:dyDescent="0.2">
      <c r="A141" s="889"/>
      <c r="B141" s="82"/>
      <c r="C141" s="57" t="s">
        <v>272</v>
      </c>
      <c r="D141" s="144" t="s">
        <v>268</v>
      </c>
      <c r="E141" s="145">
        <v>0</v>
      </c>
      <c r="F141" s="43">
        <v>-10209.76</v>
      </c>
      <c r="G141" s="146">
        <v>0</v>
      </c>
      <c r="H141" s="45">
        <v>-10209.76</v>
      </c>
      <c r="I141" s="46">
        <v>0</v>
      </c>
      <c r="J141" s="47">
        <v>0</v>
      </c>
      <c r="K141" s="879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</row>
    <row r="142" spans="1:29" s="56" customFormat="1" x14ac:dyDescent="0.2">
      <c r="A142" s="49" t="s">
        <v>273</v>
      </c>
      <c r="B142" s="49"/>
      <c r="C142" s="49"/>
      <c r="D142" s="50" t="s">
        <v>274</v>
      </c>
      <c r="E142" s="51">
        <f>E143</f>
        <v>0</v>
      </c>
      <c r="F142" s="51">
        <f t="shared" ref="F142:AB143" si="61">F143</f>
        <v>43.65</v>
      </c>
      <c r="G142" s="52">
        <v>0</v>
      </c>
      <c r="H142" s="53">
        <f t="shared" si="61"/>
        <v>43.65</v>
      </c>
      <c r="I142" s="54">
        <f t="shared" si="61"/>
        <v>0</v>
      </c>
      <c r="J142" s="55">
        <v>0</v>
      </c>
      <c r="K142" s="871">
        <f t="shared" si="61"/>
        <v>0</v>
      </c>
      <c r="L142" s="51">
        <f t="shared" si="61"/>
        <v>0</v>
      </c>
      <c r="M142" s="51">
        <f t="shared" si="61"/>
        <v>0</v>
      </c>
      <c r="N142" s="51">
        <f t="shared" si="61"/>
        <v>0</v>
      </c>
      <c r="O142" s="51">
        <f t="shared" si="61"/>
        <v>0</v>
      </c>
      <c r="P142" s="51">
        <f t="shared" si="61"/>
        <v>0</v>
      </c>
      <c r="Q142" s="51">
        <f t="shared" si="61"/>
        <v>0</v>
      </c>
      <c r="R142" s="51">
        <f t="shared" si="61"/>
        <v>0</v>
      </c>
      <c r="S142" s="51">
        <f t="shared" si="61"/>
        <v>0</v>
      </c>
      <c r="T142" s="51">
        <f t="shared" si="61"/>
        <v>0</v>
      </c>
      <c r="U142" s="51">
        <f t="shared" si="61"/>
        <v>0</v>
      </c>
      <c r="V142" s="51">
        <f t="shared" si="61"/>
        <v>0</v>
      </c>
      <c r="W142" s="51">
        <f t="shared" si="61"/>
        <v>0</v>
      </c>
      <c r="X142" s="51">
        <f t="shared" si="61"/>
        <v>0</v>
      </c>
      <c r="Y142" s="51">
        <f t="shared" si="61"/>
        <v>0</v>
      </c>
      <c r="Z142" s="51">
        <f t="shared" si="61"/>
        <v>0</v>
      </c>
      <c r="AA142" s="51">
        <f t="shared" si="61"/>
        <v>0</v>
      </c>
      <c r="AB142" s="51">
        <f t="shared" si="61"/>
        <v>0</v>
      </c>
      <c r="AC142" s="51">
        <f>AC143</f>
        <v>0</v>
      </c>
    </row>
    <row r="143" spans="1:29" x14ac:dyDescent="0.2">
      <c r="A143" s="57"/>
      <c r="B143" s="147" t="s">
        <v>275</v>
      </c>
      <c r="C143" s="147"/>
      <c r="D143" s="148" t="s">
        <v>276</v>
      </c>
      <c r="E143" s="149">
        <f>E144</f>
        <v>0</v>
      </c>
      <c r="F143" s="149">
        <f t="shared" si="61"/>
        <v>43.65</v>
      </c>
      <c r="G143" s="150">
        <v>0</v>
      </c>
      <c r="H143" s="151">
        <f t="shared" si="61"/>
        <v>43.65</v>
      </c>
      <c r="I143" s="152">
        <f t="shared" si="61"/>
        <v>0</v>
      </c>
      <c r="J143" s="153">
        <v>0</v>
      </c>
      <c r="K143" s="874"/>
      <c r="L143" s="154"/>
      <c r="M143" s="154">
        <f>M144</f>
        <v>0</v>
      </c>
      <c r="N143" s="154">
        <f t="shared" si="61"/>
        <v>0</v>
      </c>
      <c r="O143" s="154">
        <f t="shared" si="61"/>
        <v>0</v>
      </c>
      <c r="P143" s="154">
        <f t="shared" si="61"/>
        <v>0</v>
      </c>
      <c r="Q143" s="154">
        <f t="shared" si="61"/>
        <v>0</v>
      </c>
      <c r="R143" s="154">
        <f t="shared" si="61"/>
        <v>0</v>
      </c>
      <c r="S143" s="154">
        <f t="shared" si="61"/>
        <v>0</v>
      </c>
      <c r="T143" s="154">
        <f t="shared" si="61"/>
        <v>0</v>
      </c>
      <c r="U143" s="154">
        <f t="shared" si="61"/>
        <v>0</v>
      </c>
      <c r="V143" s="154">
        <f t="shared" si="61"/>
        <v>0</v>
      </c>
      <c r="W143" s="154">
        <f t="shared" si="61"/>
        <v>0</v>
      </c>
      <c r="X143" s="154">
        <f t="shared" si="61"/>
        <v>0</v>
      </c>
      <c r="Y143" s="154">
        <f t="shared" si="61"/>
        <v>0</v>
      </c>
      <c r="Z143" s="154">
        <f t="shared" si="61"/>
        <v>0</v>
      </c>
      <c r="AA143" s="154">
        <f t="shared" si="61"/>
        <v>0</v>
      </c>
      <c r="AB143" s="154">
        <f t="shared" si="61"/>
        <v>0</v>
      </c>
      <c r="AC143" s="154">
        <f t="shared" ref="AC143" si="62">AC144</f>
        <v>0</v>
      </c>
    </row>
    <row r="144" spans="1:29" ht="56.25" x14ac:dyDescent="0.2">
      <c r="A144" s="65"/>
      <c r="B144" s="93"/>
      <c r="C144" s="93" t="s">
        <v>277</v>
      </c>
      <c r="D144" s="28" t="s">
        <v>278</v>
      </c>
      <c r="E144" s="68">
        <v>0</v>
      </c>
      <c r="F144" s="30">
        <v>43.65</v>
      </c>
      <c r="G144" s="69">
        <v>0</v>
      </c>
      <c r="H144" s="32">
        <v>43.65</v>
      </c>
      <c r="I144" s="33">
        <v>0</v>
      </c>
      <c r="J144" s="34">
        <v>0</v>
      </c>
      <c r="K144" s="869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</row>
    <row r="145" spans="1:29" x14ac:dyDescent="0.2">
      <c r="A145" s="894" t="s">
        <v>279</v>
      </c>
      <c r="B145" s="71"/>
      <c r="C145" s="71"/>
      <c r="D145" s="72" t="s">
        <v>280</v>
      </c>
      <c r="E145" s="73">
        <f>E146+E149+E154+E156+E158+E162+E164+E169</f>
        <v>2532152</v>
      </c>
      <c r="F145" s="73">
        <f t="shared" ref="F145:AC145" si="63">F146+F149+F154+F156+F158+F162+F164+F169</f>
        <v>2238276.8199999998</v>
      </c>
      <c r="G145" s="74">
        <f t="shared" si="41"/>
        <v>0.88394252003829143</v>
      </c>
      <c r="H145" s="73">
        <f t="shared" si="63"/>
        <v>2536318.59</v>
      </c>
      <c r="I145" s="75">
        <f t="shared" si="63"/>
        <v>1491644</v>
      </c>
      <c r="J145" s="76">
        <f t="shared" si="44"/>
        <v>0.58908154012871261</v>
      </c>
      <c r="K145" s="873">
        <f t="shared" si="42"/>
        <v>1491644</v>
      </c>
      <c r="L145" s="77">
        <f t="shared" si="63"/>
        <v>1435019</v>
      </c>
      <c r="M145" s="73">
        <f t="shared" si="63"/>
        <v>1435019</v>
      </c>
      <c r="N145" s="73">
        <f t="shared" si="63"/>
        <v>0</v>
      </c>
      <c r="O145" s="73">
        <f t="shared" si="63"/>
        <v>0</v>
      </c>
      <c r="P145" s="73">
        <f t="shared" si="63"/>
        <v>0</v>
      </c>
      <c r="Q145" s="73">
        <f t="shared" si="63"/>
        <v>0</v>
      </c>
      <c r="R145" s="73">
        <f t="shared" si="63"/>
        <v>56625</v>
      </c>
      <c r="S145" s="73">
        <f t="shared" si="63"/>
        <v>0</v>
      </c>
      <c r="T145" s="73">
        <f t="shared" si="63"/>
        <v>0</v>
      </c>
      <c r="U145" s="73">
        <f t="shared" si="63"/>
        <v>0</v>
      </c>
      <c r="V145" s="73">
        <f t="shared" si="63"/>
        <v>0</v>
      </c>
      <c r="W145" s="73">
        <f t="shared" si="63"/>
        <v>0</v>
      </c>
      <c r="X145" s="73">
        <f t="shared" si="63"/>
        <v>0</v>
      </c>
      <c r="Y145" s="73">
        <f t="shared" si="63"/>
        <v>0</v>
      </c>
      <c r="Z145" s="73">
        <f t="shared" si="63"/>
        <v>0</v>
      </c>
      <c r="AA145" s="73">
        <f t="shared" si="63"/>
        <v>0</v>
      </c>
      <c r="AB145" s="73">
        <f t="shared" si="63"/>
        <v>0</v>
      </c>
      <c r="AC145" s="78">
        <f t="shared" si="63"/>
        <v>0</v>
      </c>
    </row>
    <row r="146" spans="1:29" ht="15" x14ac:dyDescent="0.2">
      <c r="A146" s="887"/>
      <c r="B146" s="19" t="s">
        <v>281</v>
      </c>
      <c r="C146" s="20"/>
      <c r="D146" s="21" t="s">
        <v>282</v>
      </c>
      <c r="E146" s="22">
        <f>E147+E148</f>
        <v>1203217</v>
      </c>
      <c r="F146" s="22">
        <f t="shared" ref="F146:AC146" si="64">F147+F148</f>
        <v>1151111</v>
      </c>
      <c r="G146" s="23">
        <f t="shared" si="41"/>
        <v>0.95669442835332275</v>
      </c>
      <c r="H146" s="22">
        <f t="shared" si="64"/>
        <v>1198252.25</v>
      </c>
      <c r="I146" s="24">
        <f t="shared" si="64"/>
        <v>630900</v>
      </c>
      <c r="J146" s="37">
        <f t="shared" si="44"/>
        <v>0.52434432026808131</v>
      </c>
      <c r="K146" s="870">
        <f t="shared" si="42"/>
        <v>630900</v>
      </c>
      <c r="L146" s="38">
        <f t="shared" si="64"/>
        <v>630900</v>
      </c>
      <c r="M146" s="22">
        <f t="shared" si="64"/>
        <v>630900</v>
      </c>
      <c r="N146" s="22">
        <f t="shared" si="64"/>
        <v>0</v>
      </c>
      <c r="O146" s="22">
        <f t="shared" si="64"/>
        <v>0</v>
      </c>
      <c r="P146" s="22">
        <f t="shared" si="64"/>
        <v>0</v>
      </c>
      <c r="Q146" s="22">
        <f t="shared" si="64"/>
        <v>0</v>
      </c>
      <c r="R146" s="22">
        <f t="shared" si="64"/>
        <v>0</v>
      </c>
      <c r="S146" s="22">
        <f t="shared" si="64"/>
        <v>0</v>
      </c>
      <c r="T146" s="22">
        <f t="shared" si="64"/>
        <v>0</v>
      </c>
      <c r="U146" s="22">
        <f t="shared" si="64"/>
        <v>0</v>
      </c>
      <c r="V146" s="22">
        <f t="shared" si="64"/>
        <v>0</v>
      </c>
      <c r="W146" s="22">
        <f t="shared" si="64"/>
        <v>0</v>
      </c>
      <c r="X146" s="22">
        <f t="shared" si="64"/>
        <v>0</v>
      </c>
      <c r="Y146" s="22">
        <f t="shared" si="64"/>
        <v>0</v>
      </c>
      <c r="Z146" s="22">
        <f t="shared" si="64"/>
        <v>0</v>
      </c>
      <c r="AA146" s="22">
        <f t="shared" si="64"/>
        <v>0</v>
      </c>
      <c r="AB146" s="22">
        <f t="shared" si="64"/>
        <v>0</v>
      </c>
      <c r="AC146" s="25">
        <f t="shared" si="64"/>
        <v>0</v>
      </c>
    </row>
    <row r="147" spans="1:29" ht="45" x14ac:dyDescent="0.2">
      <c r="A147" s="889"/>
      <c r="B147" s="26"/>
      <c r="C147" s="27" t="s">
        <v>47</v>
      </c>
      <c r="D147" s="28" t="s">
        <v>48</v>
      </c>
      <c r="E147" s="29" t="s">
        <v>283</v>
      </c>
      <c r="F147" s="30">
        <v>138101</v>
      </c>
      <c r="G147" s="31">
        <f t="shared" si="41"/>
        <v>0.72605634913541561</v>
      </c>
      <c r="H147" s="32">
        <v>190207</v>
      </c>
      <c r="I147" s="33">
        <f>K147</f>
        <v>630900</v>
      </c>
      <c r="J147" s="34">
        <f t="shared" si="44"/>
        <v>3.3169126267697826</v>
      </c>
      <c r="K147" s="869">
        <f t="shared" si="42"/>
        <v>630900</v>
      </c>
      <c r="L147" s="30">
        <f>SUM(M147:Q147)</f>
        <v>630900</v>
      </c>
      <c r="M147" s="30">
        <v>630900</v>
      </c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</row>
    <row r="148" spans="1:29" ht="33.75" x14ac:dyDescent="0.2">
      <c r="A148" s="889"/>
      <c r="B148" s="898"/>
      <c r="C148" s="899" t="s">
        <v>284</v>
      </c>
      <c r="D148" s="900" t="s">
        <v>285</v>
      </c>
      <c r="E148" s="901" t="s">
        <v>286</v>
      </c>
      <c r="F148" s="30">
        <v>1013010</v>
      </c>
      <c r="G148" s="909">
        <f t="shared" si="41"/>
        <v>1</v>
      </c>
      <c r="H148" s="32">
        <v>1008045.25</v>
      </c>
      <c r="I148" s="33">
        <v>0</v>
      </c>
      <c r="J148" s="34">
        <f t="shared" si="44"/>
        <v>0</v>
      </c>
      <c r="K148" s="35">
        <f t="shared" si="42"/>
        <v>0</v>
      </c>
      <c r="L148" s="30">
        <f>SUM(M148:Q148)</f>
        <v>0</v>
      </c>
      <c r="M148" s="30"/>
      <c r="N148" s="30"/>
      <c r="O148" s="30"/>
      <c r="P148" s="30"/>
      <c r="Q148" s="30"/>
      <c r="R148" s="30"/>
      <c r="S148" s="30">
        <f>SUM(T148:AC148)</f>
        <v>0</v>
      </c>
      <c r="T148" s="30"/>
      <c r="U148" s="30"/>
      <c r="V148" s="30"/>
      <c r="W148" s="30"/>
      <c r="X148" s="30"/>
      <c r="Y148" s="30"/>
      <c r="Z148" s="30"/>
      <c r="AA148" s="30"/>
      <c r="AB148" s="30"/>
      <c r="AC148" s="30"/>
    </row>
    <row r="149" spans="1:29" ht="45" x14ac:dyDescent="0.2">
      <c r="A149" s="887"/>
      <c r="B149" s="908" t="s">
        <v>287</v>
      </c>
      <c r="C149" s="97"/>
      <c r="D149" s="98" t="s">
        <v>288</v>
      </c>
      <c r="E149" s="952">
        <f>E151+E152+E153+E150</f>
        <v>110851</v>
      </c>
      <c r="F149" s="90">
        <f t="shared" ref="F149:I149" si="65">F151+F152+F153+F150</f>
        <v>84800</v>
      </c>
      <c r="G149" s="87">
        <f t="shared" si="41"/>
        <v>0.76499084356478519</v>
      </c>
      <c r="H149" s="86">
        <f t="shared" si="65"/>
        <v>110601</v>
      </c>
      <c r="I149" s="88">
        <f t="shared" si="65"/>
        <v>51168</v>
      </c>
      <c r="J149" s="89">
        <f t="shared" si="44"/>
        <v>0.46159258824909111</v>
      </c>
      <c r="K149" s="870">
        <f t="shared" si="42"/>
        <v>51168</v>
      </c>
      <c r="L149" s="106">
        <f>L151+L152+L153+L150</f>
        <v>50918</v>
      </c>
      <c r="M149" s="102">
        <f t="shared" ref="M149:AC149" si="66">M151+M152+M153</f>
        <v>50918</v>
      </c>
      <c r="N149" s="102">
        <f t="shared" si="66"/>
        <v>0</v>
      </c>
      <c r="O149" s="102">
        <f t="shared" si="66"/>
        <v>0</v>
      </c>
      <c r="P149" s="102">
        <f t="shared" si="66"/>
        <v>0</v>
      </c>
      <c r="Q149" s="102">
        <f t="shared" si="66"/>
        <v>0</v>
      </c>
      <c r="R149" s="102">
        <f>R151+R152+R153+R150</f>
        <v>250</v>
      </c>
      <c r="S149" s="102">
        <f t="shared" si="66"/>
        <v>0</v>
      </c>
      <c r="T149" s="102">
        <f t="shared" si="66"/>
        <v>0</v>
      </c>
      <c r="U149" s="102">
        <f t="shared" si="66"/>
        <v>0</v>
      </c>
      <c r="V149" s="102">
        <f t="shared" si="66"/>
        <v>0</v>
      </c>
      <c r="W149" s="102">
        <f t="shared" si="66"/>
        <v>0</v>
      </c>
      <c r="X149" s="102">
        <f t="shared" si="66"/>
        <v>0</v>
      </c>
      <c r="Y149" s="102">
        <f t="shared" si="66"/>
        <v>0</v>
      </c>
      <c r="Z149" s="102">
        <f t="shared" si="66"/>
        <v>0</v>
      </c>
      <c r="AA149" s="102">
        <f t="shared" si="66"/>
        <v>0</v>
      </c>
      <c r="AB149" s="102">
        <f t="shared" si="66"/>
        <v>0</v>
      </c>
      <c r="AC149" s="107">
        <f t="shared" si="66"/>
        <v>0</v>
      </c>
    </row>
    <row r="150" spans="1:29" s="136" customFormat="1" ht="11.25" x14ac:dyDescent="0.2">
      <c r="A150" s="893"/>
      <c r="B150" s="133"/>
      <c r="C150" s="155" t="s">
        <v>211</v>
      </c>
      <c r="D150" s="28" t="s">
        <v>212</v>
      </c>
      <c r="E150" s="953">
        <v>0</v>
      </c>
      <c r="F150" s="156">
        <v>0</v>
      </c>
      <c r="G150" s="31">
        <v>0</v>
      </c>
      <c r="H150" s="157">
        <v>0</v>
      </c>
      <c r="I150" s="158">
        <v>250</v>
      </c>
      <c r="J150" s="116">
        <v>0</v>
      </c>
      <c r="K150" s="159">
        <f>L150+R150</f>
        <v>250</v>
      </c>
      <c r="L150" s="111">
        <f>SUM(M150:Q150)</f>
        <v>0</v>
      </c>
      <c r="M150" s="111"/>
      <c r="N150" s="111"/>
      <c r="O150" s="111"/>
      <c r="P150" s="111"/>
      <c r="Q150" s="111"/>
      <c r="R150" s="111">
        <v>250</v>
      </c>
      <c r="S150" s="111"/>
      <c r="T150" s="111"/>
      <c r="U150" s="111"/>
      <c r="V150" s="111"/>
      <c r="W150" s="111"/>
      <c r="X150" s="111"/>
      <c r="Y150" s="111"/>
      <c r="Z150" s="111"/>
      <c r="AA150" s="111"/>
      <c r="AB150" s="111"/>
      <c r="AC150" s="111"/>
    </row>
    <row r="151" spans="1:29" ht="45" x14ac:dyDescent="0.2">
      <c r="A151" s="889"/>
      <c r="B151" s="26"/>
      <c r="C151" s="27" t="s">
        <v>47</v>
      </c>
      <c r="D151" s="28" t="s">
        <v>48</v>
      </c>
      <c r="E151" s="954" t="s">
        <v>289</v>
      </c>
      <c r="F151" s="160">
        <v>47400</v>
      </c>
      <c r="G151" s="31">
        <f t="shared" si="41"/>
        <v>0.79419600221168507</v>
      </c>
      <c r="H151" s="32">
        <v>59683</v>
      </c>
      <c r="I151" s="33">
        <v>0</v>
      </c>
      <c r="J151" s="34">
        <f t="shared" si="44"/>
        <v>0</v>
      </c>
      <c r="K151" s="35">
        <f t="shared" si="42"/>
        <v>0</v>
      </c>
      <c r="L151" s="30">
        <f>SUM(M151:Q151)</f>
        <v>0</v>
      </c>
      <c r="M151" s="30"/>
      <c r="N151" s="30"/>
      <c r="O151" s="30"/>
      <c r="P151" s="30"/>
      <c r="Q151" s="30"/>
      <c r="R151" s="30"/>
      <c r="S151" s="30">
        <f>SUM(T151:AC151)</f>
        <v>0</v>
      </c>
      <c r="T151" s="30"/>
      <c r="U151" s="30"/>
      <c r="V151" s="30"/>
      <c r="W151" s="30"/>
      <c r="X151" s="30"/>
      <c r="Y151" s="30"/>
      <c r="Z151" s="30"/>
      <c r="AA151" s="30"/>
      <c r="AB151" s="30"/>
      <c r="AC151" s="30"/>
    </row>
    <row r="152" spans="1:29" ht="33.75" x14ac:dyDescent="0.2">
      <c r="A152" s="889"/>
      <c r="B152" s="26"/>
      <c r="C152" s="27" t="s">
        <v>215</v>
      </c>
      <c r="D152" s="28" t="s">
        <v>216</v>
      </c>
      <c r="E152" s="29" t="s">
        <v>290</v>
      </c>
      <c r="F152" s="30">
        <v>37400</v>
      </c>
      <c r="G152" s="31">
        <f t="shared" si="41"/>
        <v>0.73451431713735815</v>
      </c>
      <c r="H152" s="32">
        <v>50918</v>
      </c>
      <c r="I152" s="33">
        <f>K152</f>
        <v>50918</v>
      </c>
      <c r="J152" s="34">
        <f t="shared" si="44"/>
        <v>1</v>
      </c>
      <c r="K152" s="35">
        <f t="shared" si="42"/>
        <v>50918</v>
      </c>
      <c r="L152" s="30">
        <f>SUM(M152:Q152)</f>
        <v>50918</v>
      </c>
      <c r="M152" s="30">
        <v>50918</v>
      </c>
      <c r="N152" s="30"/>
      <c r="O152" s="30"/>
      <c r="P152" s="30"/>
      <c r="Q152" s="30"/>
      <c r="R152" s="30"/>
      <c r="S152" s="30">
        <f>SUM(T152:AC152)</f>
        <v>0</v>
      </c>
      <c r="T152" s="30"/>
      <c r="U152" s="30"/>
      <c r="V152" s="30"/>
      <c r="W152" s="30"/>
      <c r="X152" s="30"/>
      <c r="Y152" s="30"/>
      <c r="Z152" s="30"/>
      <c r="AA152" s="30"/>
      <c r="AB152" s="30"/>
      <c r="AC152" s="30"/>
    </row>
    <row r="153" spans="1:29" ht="56.25" x14ac:dyDescent="0.2">
      <c r="A153" s="889"/>
      <c r="B153" s="26"/>
      <c r="C153" s="27" t="s">
        <v>277</v>
      </c>
      <c r="D153" s="28" t="s">
        <v>278</v>
      </c>
      <c r="E153" s="29" t="s">
        <v>291</v>
      </c>
      <c r="F153" s="30">
        <v>0</v>
      </c>
      <c r="G153" s="31">
        <f t="shared" si="41"/>
        <v>0</v>
      </c>
      <c r="H153" s="32">
        <v>0</v>
      </c>
      <c r="I153" s="33">
        <v>0</v>
      </c>
      <c r="J153" s="34">
        <f t="shared" si="44"/>
        <v>0</v>
      </c>
      <c r="K153" s="869">
        <f t="shared" si="42"/>
        <v>0</v>
      </c>
      <c r="L153" s="30">
        <f>SUM(M153:Q153)</f>
        <v>0</v>
      </c>
      <c r="M153" s="30"/>
      <c r="N153" s="30"/>
      <c r="O153" s="30"/>
      <c r="P153" s="30"/>
      <c r="Q153" s="30"/>
      <c r="R153" s="30"/>
      <c r="S153" s="30">
        <f>SUM(T153:AC153)</f>
        <v>0</v>
      </c>
      <c r="T153" s="30"/>
      <c r="U153" s="30"/>
      <c r="V153" s="30"/>
      <c r="W153" s="30"/>
      <c r="X153" s="30"/>
      <c r="Y153" s="30"/>
      <c r="Z153" s="30"/>
      <c r="AA153" s="30"/>
      <c r="AB153" s="30"/>
      <c r="AC153" s="30"/>
    </row>
    <row r="154" spans="1:29" ht="22.5" x14ac:dyDescent="0.2">
      <c r="A154" s="887"/>
      <c r="B154" s="19" t="s">
        <v>292</v>
      </c>
      <c r="C154" s="20"/>
      <c r="D154" s="21" t="s">
        <v>293</v>
      </c>
      <c r="E154" s="22" t="str">
        <f>E155</f>
        <v>56 560,00</v>
      </c>
      <c r="F154" s="22">
        <f t="shared" ref="F154:AC154" si="67">F155</f>
        <v>54000</v>
      </c>
      <c r="G154" s="23">
        <f t="shared" si="41"/>
        <v>0.95473833097595473</v>
      </c>
      <c r="H154" s="22">
        <f t="shared" si="67"/>
        <v>56560</v>
      </c>
      <c r="I154" s="24">
        <f t="shared" si="67"/>
        <v>78871</v>
      </c>
      <c r="J154" s="37">
        <f t="shared" si="44"/>
        <v>1.3944660537482321</v>
      </c>
      <c r="K154" s="870">
        <f t="shared" si="42"/>
        <v>78871</v>
      </c>
      <c r="L154" s="38">
        <f t="shared" si="67"/>
        <v>78871</v>
      </c>
      <c r="M154" s="22">
        <f t="shared" si="67"/>
        <v>78871</v>
      </c>
      <c r="N154" s="22">
        <f t="shared" si="67"/>
        <v>0</v>
      </c>
      <c r="O154" s="22">
        <f t="shared" si="67"/>
        <v>0</v>
      </c>
      <c r="P154" s="22">
        <f t="shared" si="67"/>
        <v>0</v>
      </c>
      <c r="Q154" s="22">
        <f t="shared" si="67"/>
        <v>0</v>
      </c>
      <c r="R154" s="22">
        <f t="shared" si="67"/>
        <v>0</v>
      </c>
      <c r="S154" s="22">
        <f t="shared" si="67"/>
        <v>0</v>
      </c>
      <c r="T154" s="22">
        <f t="shared" si="67"/>
        <v>0</v>
      </c>
      <c r="U154" s="22">
        <f t="shared" si="67"/>
        <v>0</v>
      </c>
      <c r="V154" s="22">
        <f t="shared" si="67"/>
        <v>0</v>
      </c>
      <c r="W154" s="22">
        <f t="shared" si="67"/>
        <v>0</v>
      </c>
      <c r="X154" s="22">
        <f t="shared" si="67"/>
        <v>0</v>
      </c>
      <c r="Y154" s="22">
        <f t="shared" si="67"/>
        <v>0</v>
      </c>
      <c r="Z154" s="22">
        <f t="shared" si="67"/>
        <v>0</v>
      </c>
      <c r="AA154" s="22">
        <f t="shared" si="67"/>
        <v>0</v>
      </c>
      <c r="AB154" s="22">
        <f t="shared" si="67"/>
        <v>0</v>
      </c>
      <c r="AC154" s="25">
        <f t="shared" si="67"/>
        <v>0</v>
      </c>
    </row>
    <row r="155" spans="1:29" ht="33.75" x14ac:dyDescent="0.2">
      <c r="A155" s="889"/>
      <c r="B155" s="26"/>
      <c r="C155" s="27" t="s">
        <v>215</v>
      </c>
      <c r="D155" s="28" t="s">
        <v>216</v>
      </c>
      <c r="E155" s="29" t="s">
        <v>294</v>
      </c>
      <c r="F155" s="30">
        <v>54000</v>
      </c>
      <c r="G155" s="31">
        <f t="shared" si="41"/>
        <v>0.95473833097595473</v>
      </c>
      <c r="H155" s="32">
        <v>56560</v>
      </c>
      <c r="I155" s="33">
        <f>M155</f>
        <v>78871</v>
      </c>
      <c r="J155" s="34">
        <f t="shared" si="44"/>
        <v>1.3944660537482321</v>
      </c>
      <c r="K155" s="35">
        <f t="shared" si="42"/>
        <v>78871</v>
      </c>
      <c r="L155" s="30">
        <f>SUM(M155:Q155)</f>
        <v>78871</v>
      </c>
      <c r="M155" s="30">
        <v>78871</v>
      </c>
      <c r="N155" s="30"/>
      <c r="O155" s="30"/>
      <c r="P155" s="30"/>
      <c r="Q155" s="30"/>
      <c r="R155" s="30"/>
      <c r="S155" s="30">
        <f>SUM(T155:AC155)</f>
        <v>0</v>
      </c>
      <c r="T155" s="30"/>
      <c r="U155" s="30"/>
      <c r="V155" s="30"/>
      <c r="W155" s="30"/>
      <c r="X155" s="30"/>
      <c r="Y155" s="30"/>
      <c r="Z155" s="30"/>
      <c r="AA155" s="30"/>
      <c r="AB155" s="30"/>
      <c r="AC155" s="30"/>
    </row>
    <row r="156" spans="1:29" ht="15" x14ac:dyDescent="0.2">
      <c r="A156" s="887"/>
      <c r="B156" s="19" t="s">
        <v>295</v>
      </c>
      <c r="C156" s="20"/>
      <c r="D156" s="21" t="s">
        <v>296</v>
      </c>
      <c r="E156" s="102" t="str">
        <f>E157</f>
        <v>13 500,00</v>
      </c>
      <c r="F156" s="22">
        <f t="shared" ref="F156:AC156" si="68">F157</f>
        <v>8000</v>
      </c>
      <c r="G156" s="23">
        <f t="shared" si="41"/>
        <v>0.59259259259259256</v>
      </c>
      <c r="H156" s="22">
        <f t="shared" si="68"/>
        <v>13500</v>
      </c>
      <c r="I156" s="24">
        <f t="shared" si="68"/>
        <v>0</v>
      </c>
      <c r="J156" s="37">
        <f t="shared" si="44"/>
        <v>0</v>
      </c>
      <c r="K156" s="870">
        <f t="shared" si="42"/>
        <v>0</v>
      </c>
      <c r="L156" s="38">
        <f t="shared" si="68"/>
        <v>0</v>
      </c>
      <c r="M156" s="22">
        <f t="shared" si="68"/>
        <v>0</v>
      </c>
      <c r="N156" s="22">
        <f t="shared" si="68"/>
        <v>0</v>
      </c>
      <c r="O156" s="22">
        <f t="shared" si="68"/>
        <v>0</v>
      </c>
      <c r="P156" s="22">
        <f t="shared" si="68"/>
        <v>0</v>
      </c>
      <c r="Q156" s="22">
        <f t="shared" si="68"/>
        <v>0</v>
      </c>
      <c r="R156" s="22">
        <f t="shared" si="68"/>
        <v>0</v>
      </c>
      <c r="S156" s="22">
        <f t="shared" si="68"/>
        <v>0</v>
      </c>
      <c r="T156" s="22">
        <f t="shared" si="68"/>
        <v>0</v>
      </c>
      <c r="U156" s="22">
        <f t="shared" si="68"/>
        <v>0</v>
      </c>
      <c r="V156" s="22">
        <f t="shared" si="68"/>
        <v>0</v>
      </c>
      <c r="W156" s="22">
        <f t="shared" si="68"/>
        <v>0</v>
      </c>
      <c r="X156" s="22">
        <f t="shared" si="68"/>
        <v>0</v>
      </c>
      <c r="Y156" s="22">
        <f t="shared" si="68"/>
        <v>0</v>
      </c>
      <c r="Z156" s="22">
        <f t="shared" si="68"/>
        <v>0</v>
      </c>
      <c r="AA156" s="22">
        <f t="shared" si="68"/>
        <v>0</v>
      </c>
      <c r="AB156" s="22">
        <f t="shared" si="68"/>
        <v>0</v>
      </c>
      <c r="AC156" s="25">
        <f t="shared" si="68"/>
        <v>0</v>
      </c>
    </row>
    <row r="157" spans="1:29" ht="45" x14ac:dyDescent="0.2">
      <c r="A157" s="889"/>
      <c r="B157" s="26"/>
      <c r="C157" s="27" t="s">
        <v>47</v>
      </c>
      <c r="D157" s="85" t="s">
        <v>48</v>
      </c>
      <c r="E157" s="68" t="s">
        <v>297</v>
      </c>
      <c r="F157" s="43">
        <v>8000</v>
      </c>
      <c r="G157" s="44">
        <f t="shared" si="41"/>
        <v>0.59259259259259256</v>
      </c>
      <c r="H157" s="32">
        <v>13500</v>
      </c>
      <c r="I157" s="33">
        <v>0</v>
      </c>
      <c r="J157" s="34">
        <f t="shared" si="44"/>
        <v>0</v>
      </c>
      <c r="K157" s="35">
        <f t="shared" si="42"/>
        <v>0</v>
      </c>
      <c r="L157" s="30"/>
      <c r="M157" s="30"/>
      <c r="N157" s="30"/>
      <c r="O157" s="30"/>
      <c r="P157" s="30"/>
      <c r="Q157" s="30"/>
      <c r="R157" s="30"/>
      <c r="S157" s="30">
        <f>SUM(T157:AC157)</f>
        <v>0</v>
      </c>
      <c r="T157" s="30"/>
      <c r="U157" s="30"/>
      <c r="V157" s="30"/>
      <c r="W157" s="30"/>
      <c r="X157" s="30"/>
      <c r="Y157" s="30"/>
      <c r="Z157" s="30"/>
      <c r="AA157" s="30"/>
      <c r="AB157" s="30"/>
      <c r="AC157" s="30"/>
    </row>
    <row r="158" spans="1:29" ht="15" x14ac:dyDescent="0.2">
      <c r="A158" s="887"/>
      <c r="B158" s="19" t="s">
        <v>298</v>
      </c>
      <c r="C158" s="20"/>
      <c r="D158" s="955" t="s">
        <v>299</v>
      </c>
      <c r="E158" s="60">
        <f>E160+E161+E159</f>
        <v>339646</v>
      </c>
      <c r="F158" s="60">
        <f t="shared" ref="F158:H158" si="69">F160+F161+F159</f>
        <v>320474.88</v>
      </c>
      <c r="G158" s="61">
        <f t="shared" si="41"/>
        <v>0.94355558434369902</v>
      </c>
      <c r="H158" s="38">
        <f t="shared" si="69"/>
        <v>339646</v>
      </c>
      <c r="I158" s="24">
        <f>I160+I161+I159</f>
        <v>262971</v>
      </c>
      <c r="J158" s="37">
        <f t="shared" si="44"/>
        <v>0.7742502487884444</v>
      </c>
      <c r="K158" s="870">
        <f t="shared" si="42"/>
        <v>262971</v>
      </c>
      <c r="L158" s="106">
        <f>L160+L161+L159</f>
        <v>262271</v>
      </c>
      <c r="M158" s="102">
        <f t="shared" ref="M158:AC158" si="70">M160+M161</f>
        <v>262271</v>
      </c>
      <c r="N158" s="102">
        <f t="shared" si="70"/>
        <v>0</v>
      </c>
      <c r="O158" s="102">
        <f t="shared" si="70"/>
        <v>0</v>
      </c>
      <c r="P158" s="102">
        <f t="shared" si="70"/>
        <v>0</v>
      </c>
      <c r="Q158" s="102">
        <f t="shared" si="70"/>
        <v>0</v>
      </c>
      <c r="R158" s="102">
        <f>R159+R160+R161</f>
        <v>700</v>
      </c>
      <c r="S158" s="102">
        <f t="shared" si="70"/>
        <v>0</v>
      </c>
      <c r="T158" s="102">
        <f t="shared" si="70"/>
        <v>0</v>
      </c>
      <c r="U158" s="102">
        <f t="shared" si="70"/>
        <v>0</v>
      </c>
      <c r="V158" s="102">
        <f t="shared" si="70"/>
        <v>0</v>
      </c>
      <c r="W158" s="102">
        <f t="shared" si="70"/>
        <v>0</v>
      </c>
      <c r="X158" s="102">
        <f t="shared" si="70"/>
        <v>0</v>
      </c>
      <c r="Y158" s="102">
        <f t="shared" si="70"/>
        <v>0</v>
      </c>
      <c r="Z158" s="102">
        <f t="shared" si="70"/>
        <v>0</v>
      </c>
      <c r="AA158" s="102">
        <f t="shared" si="70"/>
        <v>0</v>
      </c>
      <c r="AB158" s="102">
        <f t="shared" si="70"/>
        <v>0</v>
      </c>
      <c r="AC158" s="107">
        <f t="shared" si="70"/>
        <v>0</v>
      </c>
    </row>
    <row r="159" spans="1:29" s="136" customFormat="1" ht="11.25" x14ac:dyDescent="0.2">
      <c r="A159" s="893"/>
      <c r="B159" s="133"/>
      <c r="C159" s="918" t="s">
        <v>211</v>
      </c>
      <c r="D159" s="956" t="s">
        <v>212</v>
      </c>
      <c r="E159" s="111">
        <v>0</v>
      </c>
      <c r="F159" s="111">
        <v>0</v>
      </c>
      <c r="G159" s="69">
        <v>0</v>
      </c>
      <c r="H159" s="919">
        <v>0</v>
      </c>
      <c r="I159" s="920">
        <v>700</v>
      </c>
      <c r="J159" s="116">
        <v>0</v>
      </c>
      <c r="K159" s="159">
        <f>L159+R159</f>
        <v>700</v>
      </c>
      <c r="L159" s="111">
        <f>SUM(M159:Q159)</f>
        <v>0</v>
      </c>
      <c r="M159" s="111"/>
      <c r="N159" s="111"/>
      <c r="O159" s="111"/>
      <c r="P159" s="111"/>
      <c r="Q159" s="111"/>
      <c r="R159" s="111">
        <v>700</v>
      </c>
      <c r="S159" s="111"/>
      <c r="T159" s="111"/>
      <c r="U159" s="111"/>
      <c r="V159" s="111"/>
      <c r="W159" s="111"/>
      <c r="X159" s="111"/>
      <c r="Y159" s="111"/>
      <c r="Z159" s="111"/>
      <c r="AA159" s="111"/>
      <c r="AB159" s="111"/>
      <c r="AC159" s="111"/>
    </row>
    <row r="160" spans="1:29" ht="33.75" x14ac:dyDescent="0.2">
      <c r="A160" s="889"/>
      <c r="B160" s="26"/>
      <c r="C160" s="118" t="s">
        <v>215</v>
      </c>
      <c r="D160" s="957" t="s">
        <v>216</v>
      </c>
      <c r="E160" s="68" t="s">
        <v>300</v>
      </c>
      <c r="F160" s="30">
        <v>320000</v>
      </c>
      <c r="G160" s="69">
        <f t="shared" si="41"/>
        <v>0.94410319047871938</v>
      </c>
      <c r="H160" s="959">
        <v>338946</v>
      </c>
      <c r="I160" s="123">
        <f>K160</f>
        <v>262271</v>
      </c>
      <c r="J160" s="139">
        <f t="shared" si="44"/>
        <v>0.77378402459388806</v>
      </c>
      <c r="K160" s="35">
        <f t="shared" si="42"/>
        <v>262271</v>
      </c>
      <c r="L160" s="30">
        <f>SUM(M160:Q160)</f>
        <v>262271</v>
      </c>
      <c r="M160" s="30">
        <v>262271</v>
      </c>
      <c r="N160" s="30"/>
      <c r="O160" s="30"/>
      <c r="P160" s="30"/>
      <c r="Q160" s="30"/>
      <c r="R160" s="30"/>
      <c r="S160" s="30">
        <f>SUM(T160:AC160)</f>
        <v>0</v>
      </c>
      <c r="T160" s="30"/>
      <c r="U160" s="30"/>
      <c r="V160" s="30"/>
      <c r="W160" s="30"/>
      <c r="X160" s="30"/>
      <c r="Y160" s="30"/>
      <c r="Z160" s="30"/>
      <c r="AA160" s="30"/>
      <c r="AB160" s="30"/>
      <c r="AC160" s="30"/>
    </row>
    <row r="161" spans="1:29" ht="56.25" x14ac:dyDescent="0.2">
      <c r="A161" s="889"/>
      <c r="B161" s="26"/>
      <c r="C161" s="27" t="s">
        <v>277</v>
      </c>
      <c r="D161" s="85" t="s">
        <v>278</v>
      </c>
      <c r="E161" s="68" t="s">
        <v>301</v>
      </c>
      <c r="F161" s="30">
        <v>474.88</v>
      </c>
      <c r="G161" s="69">
        <f t="shared" si="41"/>
        <v>0.6784</v>
      </c>
      <c r="H161" s="960">
        <v>700</v>
      </c>
      <c r="I161" s="33">
        <v>0</v>
      </c>
      <c r="J161" s="34">
        <f t="shared" si="44"/>
        <v>0</v>
      </c>
      <c r="K161" s="869">
        <f t="shared" si="42"/>
        <v>0</v>
      </c>
      <c r="L161" s="30">
        <f>SUM(M161:Q161)</f>
        <v>0</v>
      </c>
      <c r="M161" s="30"/>
      <c r="N161" s="30"/>
      <c r="O161" s="30"/>
      <c r="P161" s="30"/>
      <c r="Q161" s="30"/>
      <c r="R161" s="30">
        <v>0</v>
      </c>
      <c r="S161" s="30">
        <f>SUM(T161:AC161)</f>
        <v>0</v>
      </c>
      <c r="T161" s="30"/>
      <c r="U161" s="30"/>
      <c r="V161" s="30"/>
      <c r="W161" s="30"/>
      <c r="X161" s="30"/>
      <c r="Y161" s="30"/>
      <c r="Z161" s="30"/>
      <c r="AA161" s="30"/>
      <c r="AB161" s="30"/>
      <c r="AC161" s="30"/>
    </row>
    <row r="162" spans="1:29" ht="15" x14ac:dyDescent="0.2">
      <c r="A162" s="887"/>
      <c r="B162" s="903" t="s">
        <v>302</v>
      </c>
      <c r="C162" s="127"/>
      <c r="D162" s="958" t="s">
        <v>303</v>
      </c>
      <c r="E162" s="60" t="str">
        <f>E163</f>
        <v>151 253,00</v>
      </c>
      <c r="F162" s="60">
        <f t="shared" ref="F162:AC162" si="71">F163</f>
        <v>116340</v>
      </c>
      <c r="G162" s="61">
        <f t="shared" si="41"/>
        <v>0.76917482628443734</v>
      </c>
      <c r="H162" s="132">
        <f t="shared" si="71"/>
        <v>151253</v>
      </c>
      <c r="I162" s="131">
        <f t="shared" si="71"/>
        <v>171875</v>
      </c>
      <c r="J162" s="37">
        <f t="shared" si="44"/>
        <v>1.1363410973666639</v>
      </c>
      <c r="K162" s="870">
        <f t="shared" si="42"/>
        <v>171875</v>
      </c>
      <c r="L162" s="38">
        <f t="shared" si="71"/>
        <v>171875</v>
      </c>
      <c r="M162" s="22">
        <f t="shared" si="71"/>
        <v>171875</v>
      </c>
      <c r="N162" s="22">
        <f t="shared" si="71"/>
        <v>0</v>
      </c>
      <c r="O162" s="22">
        <f t="shared" si="71"/>
        <v>0</v>
      </c>
      <c r="P162" s="22">
        <f t="shared" si="71"/>
        <v>0</v>
      </c>
      <c r="Q162" s="22">
        <f t="shared" si="71"/>
        <v>0</v>
      </c>
      <c r="R162" s="22">
        <f t="shared" si="71"/>
        <v>0</v>
      </c>
      <c r="S162" s="22">
        <f t="shared" si="71"/>
        <v>0</v>
      </c>
      <c r="T162" s="22">
        <f t="shared" si="71"/>
        <v>0</v>
      </c>
      <c r="U162" s="22">
        <f t="shared" si="71"/>
        <v>0</v>
      </c>
      <c r="V162" s="22">
        <f t="shared" si="71"/>
        <v>0</v>
      </c>
      <c r="W162" s="22">
        <f t="shared" si="71"/>
        <v>0</v>
      </c>
      <c r="X162" s="22">
        <f t="shared" si="71"/>
        <v>0</v>
      </c>
      <c r="Y162" s="22">
        <f t="shared" si="71"/>
        <v>0</v>
      </c>
      <c r="Z162" s="22">
        <f t="shared" si="71"/>
        <v>0</v>
      </c>
      <c r="AA162" s="22">
        <f t="shared" si="71"/>
        <v>0</v>
      </c>
      <c r="AB162" s="22">
        <f t="shared" si="71"/>
        <v>0</v>
      </c>
      <c r="AC162" s="25">
        <f t="shared" si="71"/>
        <v>0</v>
      </c>
    </row>
    <row r="163" spans="1:29" ht="33.75" x14ac:dyDescent="0.2">
      <c r="A163" s="889"/>
      <c r="B163" s="26"/>
      <c r="C163" s="118" t="s">
        <v>215</v>
      </c>
      <c r="D163" s="957" t="s">
        <v>216</v>
      </c>
      <c r="E163" s="68" t="s">
        <v>304</v>
      </c>
      <c r="F163" s="30">
        <v>116340</v>
      </c>
      <c r="G163" s="69">
        <f t="shared" si="41"/>
        <v>0.76917482628443734</v>
      </c>
      <c r="H163" s="959">
        <v>151253</v>
      </c>
      <c r="I163" s="123">
        <f>K163</f>
        <v>171875</v>
      </c>
      <c r="J163" s="139">
        <f t="shared" si="44"/>
        <v>1.1363410973666639</v>
      </c>
      <c r="K163" s="35">
        <f t="shared" si="42"/>
        <v>171875</v>
      </c>
      <c r="L163" s="30">
        <f>SUM(M163:Q163)</f>
        <v>171875</v>
      </c>
      <c r="M163" s="30">
        <v>171875</v>
      </c>
      <c r="N163" s="30"/>
      <c r="O163" s="30"/>
      <c r="P163" s="30"/>
      <c r="Q163" s="30"/>
      <c r="R163" s="30"/>
      <c r="S163" s="30">
        <f>SUM(T163:AC163)</f>
        <v>0</v>
      </c>
      <c r="T163" s="30"/>
      <c r="U163" s="30"/>
      <c r="V163" s="30"/>
      <c r="W163" s="30"/>
      <c r="X163" s="30"/>
      <c r="Y163" s="30"/>
      <c r="Z163" s="30"/>
      <c r="AA163" s="30"/>
      <c r="AB163" s="30"/>
      <c r="AC163" s="30"/>
    </row>
    <row r="164" spans="1:29" ht="15" x14ac:dyDescent="0.2">
      <c r="A164" s="887"/>
      <c r="B164" s="19" t="s">
        <v>305</v>
      </c>
      <c r="C164" s="20"/>
      <c r="D164" s="21" t="s">
        <v>306</v>
      </c>
      <c r="E164" s="86">
        <f>E165+E166+E167+E168</f>
        <v>462125</v>
      </c>
      <c r="F164" s="86">
        <f t="shared" ref="F164:AC164" si="72">F165+F166+F167+F168</f>
        <v>333993.94</v>
      </c>
      <c r="G164" s="87">
        <f t="shared" si="41"/>
        <v>0.72273506086015693</v>
      </c>
      <c r="H164" s="22">
        <f t="shared" si="72"/>
        <v>471506.34</v>
      </c>
      <c r="I164" s="24">
        <f t="shared" si="72"/>
        <v>295859</v>
      </c>
      <c r="J164" s="37">
        <f t="shared" si="44"/>
        <v>0.64021422775223158</v>
      </c>
      <c r="K164" s="870">
        <f t="shared" si="42"/>
        <v>295859</v>
      </c>
      <c r="L164" s="38">
        <f t="shared" si="72"/>
        <v>240184</v>
      </c>
      <c r="M164" s="22">
        <f t="shared" si="72"/>
        <v>240184</v>
      </c>
      <c r="N164" s="22">
        <f t="shared" si="72"/>
        <v>0</v>
      </c>
      <c r="O164" s="22">
        <f t="shared" si="72"/>
        <v>0</v>
      </c>
      <c r="P164" s="22">
        <f t="shared" si="72"/>
        <v>0</v>
      </c>
      <c r="Q164" s="22">
        <f t="shared" si="72"/>
        <v>0</v>
      </c>
      <c r="R164" s="22">
        <f t="shared" si="72"/>
        <v>55675</v>
      </c>
      <c r="S164" s="22">
        <f t="shared" si="72"/>
        <v>0</v>
      </c>
      <c r="T164" s="22">
        <f t="shared" si="72"/>
        <v>0</v>
      </c>
      <c r="U164" s="22">
        <f t="shared" si="72"/>
        <v>0</v>
      </c>
      <c r="V164" s="22">
        <f t="shared" si="72"/>
        <v>0</v>
      </c>
      <c r="W164" s="22">
        <f t="shared" si="72"/>
        <v>0</v>
      </c>
      <c r="X164" s="22">
        <f t="shared" si="72"/>
        <v>0</v>
      </c>
      <c r="Y164" s="22">
        <f t="shared" si="72"/>
        <v>0</v>
      </c>
      <c r="Z164" s="22">
        <f t="shared" si="72"/>
        <v>0</v>
      </c>
      <c r="AA164" s="22">
        <f t="shared" si="72"/>
        <v>0</v>
      </c>
      <c r="AB164" s="22">
        <f t="shared" si="72"/>
        <v>0</v>
      </c>
      <c r="AC164" s="25">
        <f t="shared" si="72"/>
        <v>0</v>
      </c>
    </row>
    <row r="165" spans="1:29" x14ac:dyDescent="0.2">
      <c r="A165" s="889"/>
      <c r="B165" s="26"/>
      <c r="C165" s="27" t="s">
        <v>99</v>
      </c>
      <c r="D165" s="28" t="s">
        <v>100</v>
      </c>
      <c r="E165" s="29" t="s">
        <v>307</v>
      </c>
      <c r="F165" s="30">
        <v>33263.94</v>
      </c>
      <c r="G165" s="31">
        <f t="shared" si="41"/>
        <v>0.95039828571428575</v>
      </c>
      <c r="H165" s="32">
        <v>41943.46</v>
      </c>
      <c r="I165" s="33">
        <v>55000</v>
      </c>
      <c r="J165" s="34">
        <f t="shared" si="44"/>
        <v>1.5714285714285714</v>
      </c>
      <c r="K165" s="869">
        <f t="shared" si="42"/>
        <v>55000</v>
      </c>
      <c r="L165" s="160">
        <f>SUM(M165:Q165)</f>
        <v>0</v>
      </c>
      <c r="M165" s="30"/>
      <c r="N165" s="30"/>
      <c r="O165" s="30"/>
      <c r="P165" s="30"/>
      <c r="Q165" s="30"/>
      <c r="R165" s="30">
        <f>35000+20000</f>
        <v>55000</v>
      </c>
      <c r="S165" s="30">
        <f>SUM(T165:AC165)</f>
        <v>0</v>
      </c>
      <c r="T165" s="30"/>
      <c r="U165" s="30"/>
      <c r="V165" s="30"/>
      <c r="W165" s="30"/>
      <c r="X165" s="30"/>
      <c r="Y165" s="30"/>
      <c r="Z165" s="30"/>
      <c r="AA165" s="30"/>
      <c r="AB165" s="30"/>
      <c r="AC165" s="30"/>
    </row>
    <row r="166" spans="1:29" ht="45" x14ac:dyDescent="0.2">
      <c r="A166" s="889"/>
      <c r="B166" s="26"/>
      <c r="C166" s="27" t="s">
        <v>47</v>
      </c>
      <c r="D166" s="28" t="s">
        <v>48</v>
      </c>
      <c r="E166" s="29" t="s">
        <v>308</v>
      </c>
      <c r="F166" s="30">
        <v>299000</v>
      </c>
      <c r="G166" s="31">
        <f t="shared" si="41"/>
        <v>0.70023419203747073</v>
      </c>
      <c r="H166" s="32">
        <v>427000</v>
      </c>
      <c r="I166" s="33">
        <f>K166</f>
        <v>240184</v>
      </c>
      <c r="J166" s="34">
        <f t="shared" si="44"/>
        <v>0.56249180327868853</v>
      </c>
      <c r="K166" s="869">
        <f t="shared" si="42"/>
        <v>240184</v>
      </c>
      <c r="L166" s="160">
        <f>SUM(M166:Q166)</f>
        <v>240184</v>
      </c>
      <c r="M166" s="30">
        <v>240184</v>
      </c>
      <c r="N166" s="30"/>
      <c r="O166" s="30"/>
      <c r="P166" s="30"/>
      <c r="Q166" s="30"/>
      <c r="R166" s="30"/>
      <c r="S166" s="30">
        <f>SUM(T166:AC166)</f>
        <v>0</v>
      </c>
      <c r="T166" s="30"/>
      <c r="U166" s="30"/>
      <c r="V166" s="30"/>
      <c r="W166" s="30"/>
      <c r="X166" s="30"/>
      <c r="Y166" s="30"/>
      <c r="Z166" s="30"/>
      <c r="AA166" s="30"/>
      <c r="AB166" s="30"/>
      <c r="AC166" s="30"/>
    </row>
    <row r="167" spans="1:29" ht="33.75" x14ac:dyDescent="0.2">
      <c r="A167" s="889"/>
      <c r="B167" s="26"/>
      <c r="C167" s="27" t="s">
        <v>215</v>
      </c>
      <c r="D167" s="28" t="s">
        <v>216</v>
      </c>
      <c r="E167" s="29" t="s">
        <v>39</v>
      </c>
      <c r="F167" s="30">
        <v>0</v>
      </c>
      <c r="G167" s="31">
        <v>0</v>
      </c>
      <c r="H167" s="32">
        <v>0</v>
      </c>
      <c r="I167" s="33">
        <v>0</v>
      </c>
      <c r="J167" s="34">
        <v>0</v>
      </c>
      <c r="K167" s="869">
        <f t="shared" si="42"/>
        <v>0</v>
      </c>
      <c r="L167" s="160">
        <f>SUM(M167:Q167)</f>
        <v>0</v>
      </c>
      <c r="M167" s="30"/>
      <c r="N167" s="30"/>
      <c r="O167" s="30"/>
      <c r="P167" s="30"/>
      <c r="Q167" s="30"/>
      <c r="R167" s="30"/>
      <c r="S167" s="30">
        <f>SUM(T167:AC167)</f>
        <v>0</v>
      </c>
      <c r="T167" s="30"/>
      <c r="U167" s="30"/>
      <c r="V167" s="30"/>
      <c r="W167" s="30"/>
      <c r="X167" s="30"/>
      <c r="Y167" s="30"/>
      <c r="Z167" s="30"/>
      <c r="AA167" s="30"/>
      <c r="AB167" s="30"/>
      <c r="AC167" s="30"/>
    </row>
    <row r="168" spans="1:29" ht="33.75" x14ac:dyDescent="0.2">
      <c r="A168" s="889"/>
      <c r="B168" s="26"/>
      <c r="C168" s="27" t="s">
        <v>109</v>
      </c>
      <c r="D168" s="28" t="s">
        <v>110</v>
      </c>
      <c r="E168" s="29" t="s">
        <v>309</v>
      </c>
      <c r="F168" s="30">
        <v>1730</v>
      </c>
      <c r="G168" s="31">
        <f t="shared" si="41"/>
        <v>13.84</v>
      </c>
      <c r="H168" s="32">
        <v>2562.88</v>
      </c>
      <c r="I168" s="33">
        <f>K168</f>
        <v>675</v>
      </c>
      <c r="J168" s="34">
        <f t="shared" si="44"/>
        <v>5.4</v>
      </c>
      <c r="K168" s="869">
        <f t="shared" si="42"/>
        <v>675</v>
      </c>
      <c r="L168" s="160">
        <f>SUM(M168:Q168)</f>
        <v>0</v>
      </c>
      <c r="M168" s="30"/>
      <c r="N168" s="30"/>
      <c r="O168" s="30"/>
      <c r="P168" s="30"/>
      <c r="Q168" s="30"/>
      <c r="R168" s="30">
        <v>675</v>
      </c>
      <c r="S168" s="30">
        <f>SUM(T168:AC168)</f>
        <v>0</v>
      </c>
      <c r="T168" s="30"/>
      <c r="U168" s="30"/>
      <c r="V168" s="30"/>
      <c r="W168" s="30"/>
      <c r="X168" s="30"/>
      <c r="Y168" s="30"/>
      <c r="Z168" s="30"/>
      <c r="AA168" s="30"/>
      <c r="AB168" s="30"/>
      <c r="AC168" s="30"/>
    </row>
    <row r="169" spans="1:29" ht="15" x14ac:dyDescent="0.2">
      <c r="A169" s="887"/>
      <c r="B169" s="19" t="s">
        <v>310</v>
      </c>
      <c r="C169" s="20"/>
      <c r="D169" s="21" t="s">
        <v>311</v>
      </c>
      <c r="E169" s="22" t="str">
        <f>E170</f>
        <v>195 000,00</v>
      </c>
      <c r="F169" s="22">
        <f t="shared" ref="F169:AC169" si="73">F170</f>
        <v>169557</v>
      </c>
      <c r="G169" s="23">
        <f t="shared" si="41"/>
        <v>0.86952307692307695</v>
      </c>
      <c r="H169" s="22">
        <f t="shared" si="73"/>
        <v>195000</v>
      </c>
      <c r="I169" s="24">
        <f t="shared" si="73"/>
        <v>0</v>
      </c>
      <c r="J169" s="37">
        <f t="shared" si="44"/>
        <v>0</v>
      </c>
      <c r="K169" s="870">
        <f t="shared" si="42"/>
        <v>0</v>
      </c>
      <c r="L169" s="38">
        <f t="shared" si="73"/>
        <v>0</v>
      </c>
      <c r="M169" s="22">
        <f t="shared" si="73"/>
        <v>0</v>
      </c>
      <c r="N169" s="22">
        <f t="shared" si="73"/>
        <v>0</v>
      </c>
      <c r="O169" s="22">
        <f t="shared" si="73"/>
        <v>0</v>
      </c>
      <c r="P169" s="22">
        <f t="shared" si="73"/>
        <v>0</v>
      </c>
      <c r="Q169" s="22">
        <f t="shared" si="73"/>
        <v>0</v>
      </c>
      <c r="R169" s="22">
        <f t="shared" si="73"/>
        <v>0</v>
      </c>
      <c r="S169" s="22">
        <f t="shared" si="73"/>
        <v>0</v>
      </c>
      <c r="T169" s="22">
        <f t="shared" si="73"/>
        <v>0</v>
      </c>
      <c r="U169" s="22">
        <f t="shared" si="73"/>
        <v>0</v>
      </c>
      <c r="V169" s="22">
        <f t="shared" si="73"/>
        <v>0</v>
      </c>
      <c r="W169" s="22">
        <f t="shared" si="73"/>
        <v>0</v>
      </c>
      <c r="X169" s="22">
        <f t="shared" si="73"/>
        <v>0</v>
      </c>
      <c r="Y169" s="22">
        <f t="shared" si="73"/>
        <v>0</v>
      </c>
      <c r="Z169" s="22">
        <f t="shared" si="73"/>
        <v>0</v>
      </c>
      <c r="AA169" s="22">
        <f t="shared" si="73"/>
        <v>0</v>
      </c>
      <c r="AB169" s="22">
        <f t="shared" si="73"/>
        <v>0</v>
      </c>
      <c r="AC169" s="25">
        <f t="shared" si="73"/>
        <v>0</v>
      </c>
    </row>
    <row r="170" spans="1:29" ht="33.75" x14ac:dyDescent="0.2">
      <c r="A170" s="889"/>
      <c r="B170" s="26"/>
      <c r="C170" s="27" t="s">
        <v>215</v>
      </c>
      <c r="D170" s="28" t="s">
        <v>216</v>
      </c>
      <c r="E170" s="29" t="s">
        <v>312</v>
      </c>
      <c r="F170" s="30">
        <v>169557</v>
      </c>
      <c r="G170" s="31">
        <f t="shared" si="41"/>
        <v>0.86952307692307695</v>
      </c>
      <c r="H170" s="32">
        <v>195000</v>
      </c>
      <c r="I170" s="33">
        <v>0</v>
      </c>
      <c r="J170" s="34">
        <f t="shared" si="44"/>
        <v>0</v>
      </c>
      <c r="K170" s="869">
        <f t="shared" si="42"/>
        <v>0</v>
      </c>
      <c r="L170" s="160">
        <f>SUM(M170:Q170)</f>
        <v>0</v>
      </c>
      <c r="M170" s="30"/>
      <c r="N170" s="30"/>
      <c r="O170" s="30"/>
      <c r="P170" s="30"/>
      <c r="Q170" s="30"/>
      <c r="R170" s="30"/>
      <c r="S170" s="30">
        <f>SUM(T170:AC170)</f>
        <v>0</v>
      </c>
      <c r="T170" s="30"/>
      <c r="U170" s="30"/>
      <c r="V170" s="30"/>
      <c r="W170" s="30"/>
      <c r="X170" s="30"/>
      <c r="Y170" s="30"/>
      <c r="Z170" s="30"/>
      <c r="AA170" s="30"/>
      <c r="AB170" s="30"/>
      <c r="AC170" s="30"/>
    </row>
    <row r="171" spans="1:29" x14ac:dyDescent="0.2">
      <c r="A171" s="885" t="s">
        <v>313</v>
      </c>
      <c r="B171" s="13"/>
      <c r="C171" s="13"/>
      <c r="D171" s="14" t="s">
        <v>314</v>
      </c>
      <c r="E171" s="15">
        <f>E172</f>
        <v>640378.56999999995</v>
      </c>
      <c r="F171" s="15">
        <f t="shared" ref="F171:AC171" si="74">F172</f>
        <v>586981.9</v>
      </c>
      <c r="G171" s="16">
        <f t="shared" ref="G171:G219" si="75">F171/E171</f>
        <v>0.91661702545730106</v>
      </c>
      <c r="H171" s="15">
        <f t="shared" si="74"/>
        <v>640378.56999999995</v>
      </c>
      <c r="I171" s="17">
        <f t="shared" si="74"/>
        <v>0</v>
      </c>
      <c r="J171" s="80">
        <f t="shared" si="44"/>
        <v>0</v>
      </c>
      <c r="K171" s="878">
        <f t="shared" ref="K171:K219" si="76">L171+R171+S171</f>
        <v>0</v>
      </c>
      <c r="L171" s="84">
        <f t="shared" si="74"/>
        <v>0</v>
      </c>
      <c r="M171" s="15">
        <f t="shared" si="74"/>
        <v>0</v>
      </c>
      <c r="N171" s="15">
        <f t="shared" si="74"/>
        <v>0</v>
      </c>
      <c r="O171" s="15">
        <f t="shared" si="74"/>
        <v>0</v>
      </c>
      <c r="P171" s="15">
        <f t="shared" si="74"/>
        <v>0</v>
      </c>
      <c r="Q171" s="15">
        <f t="shared" si="74"/>
        <v>0</v>
      </c>
      <c r="R171" s="15">
        <f t="shared" si="74"/>
        <v>0</v>
      </c>
      <c r="S171" s="15">
        <f t="shared" si="74"/>
        <v>0</v>
      </c>
      <c r="T171" s="15">
        <f t="shared" si="74"/>
        <v>0</v>
      </c>
      <c r="U171" s="15">
        <f t="shared" si="74"/>
        <v>0</v>
      </c>
      <c r="V171" s="15">
        <f t="shared" si="74"/>
        <v>0</v>
      </c>
      <c r="W171" s="15">
        <f t="shared" si="74"/>
        <v>0</v>
      </c>
      <c r="X171" s="15">
        <f t="shared" si="74"/>
        <v>0</v>
      </c>
      <c r="Y171" s="15">
        <f t="shared" si="74"/>
        <v>0</v>
      </c>
      <c r="Z171" s="15">
        <f t="shared" si="74"/>
        <v>0</v>
      </c>
      <c r="AA171" s="15">
        <f t="shared" si="74"/>
        <v>0</v>
      </c>
      <c r="AB171" s="15">
        <f t="shared" si="74"/>
        <v>0</v>
      </c>
      <c r="AC171" s="18">
        <f t="shared" si="74"/>
        <v>0</v>
      </c>
    </row>
    <row r="172" spans="1:29" ht="15" x14ac:dyDescent="0.2">
      <c r="A172" s="887"/>
      <c r="B172" s="19" t="s">
        <v>315</v>
      </c>
      <c r="C172" s="20"/>
      <c r="D172" s="21" t="s">
        <v>41</v>
      </c>
      <c r="E172" s="22">
        <f>E173+E174</f>
        <v>640378.56999999995</v>
      </c>
      <c r="F172" s="22">
        <f t="shared" ref="F172:AC172" si="77">F173+F174</f>
        <v>586981.9</v>
      </c>
      <c r="G172" s="23">
        <f t="shared" si="75"/>
        <v>0.91661702545730106</v>
      </c>
      <c r="H172" s="22">
        <f t="shared" si="77"/>
        <v>640378.56999999995</v>
      </c>
      <c r="I172" s="24">
        <f t="shared" si="77"/>
        <v>0</v>
      </c>
      <c r="J172" s="37">
        <f t="shared" ref="J172:J219" si="78">I172/E172</f>
        <v>0</v>
      </c>
      <c r="K172" s="161">
        <f t="shared" si="76"/>
        <v>0</v>
      </c>
      <c r="L172" s="22">
        <f t="shared" si="77"/>
        <v>0</v>
      </c>
      <c r="M172" s="22">
        <f t="shared" si="77"/>
        <v>0</v>
      </c>
      <c r="N172" s="22">
        <f t="shared" si="77"/>
        <v>0</v>
      </c>
      <c r="O172" s="22">
        <f t="shared" si="77"/>
        <v>0</v>
      </c>
      <c r="P172" s="22">
        <f t="shared" si="77"/>
        <v>0</v>
      </c>
      <c r="Q172" s="22">
        <f t="shared" si="77"/>
        <v>0</v>
      </c>
      <c r="R172" s="22">
        <f t="shared" si="77"/>
        <v>0</v>
      </c>
      <c r="S172" s="22">
        <f t="shared" si="77"/>
        <v>0</v>
      </c>
      <c r="T172" s="22">
        <f t="shared" si="77"/>
        <v>0</v>
      </c>
      <c r="U172" s="22">
        <f t="shared" si="77"/>
        <v>0</v>
      </c>
      <c r="V172" s="22">
        <f t="shared" si="77"/>
        <v>0</v>
      </c>
      <c r="W172" s="22">
        <f t="shared" si="77"/>
        <v>0</v>
      </c>
      <c r="X172" s="22">
        <f t="shared" si="77"/>
        <v>0</v>
      </c>
      <c r="Y172" s="22">
        <f t="shared" si="77"/>
        <v>0</v>
      </c>
      <c r="Z172" s="22">
        <f t="shared" si="77"/>
        <v>0</v>
      </c>
      <c r="AA172" s="22">
        <f t="shared" si="77"/>
        <v>0</v>
      </c>
      <c r="AB172" s="22">
        <f t="shared" si="77"/>
        <v>0</v>
      </c>
      <c r="AC172" s="25">
        <f t="shared" si="77"/>
        <v>0</v>
      </c>
    </row>
    <row r="173" spans="1:29" ht="56.25" x14ac:dyDescent="0.2">
      <c r="A173" s="889"/>
      <c r="B173" s="26"/>
      <c r="C173" s="27" t="s">
        <v>267</v>
      </c>
      <c r="D173" s="28" t="s">
        <v>268</v>
      </c>
      <c r="E173" s="29" t="s">
        <v>316</v>
      </c>
      <c r="F173" s="30">
        <v>570487.16</v>
      </c>
      <c r="G173" s="31">
        <f t="shared" si="75"/>
        <v>0.92272550685660337</v>
      </c>
      <c r="H173" s="32">
        <v>618263.13</v>
      </c>
      <c r="I173" s="33">
        <v>0</v>
      </c>
      <c r="J173" s="34">
        <f t="shared" si="78"/>
        <v>0</v>
      </c>
      <c r="K173" s="869">
        <f t="shared" si="76"/>
        <v>0</v>
      </c>
      <c r="L173" s="30">
        <f>SUM(M173:Q173)</f>
        <v>0</v>
      </c>
      <c r="M173" s="30"/>
      <c r="N173" s="30"/>
      <c r="O173" s="30"/>
      <c r="P173" s="30"/>
      <c r="Q173" s="30"/>
      <c r="R173" s="30"/>
      <c r="S173" s="30">
        <f>SUM(T173:AC173)</f>
        <v>0</v>
      </c>
      <c r="T173" s="30"/>
      <c r="U173" s="30"/>
      <c r="V173" s="30"/>
      <c r="W173" s="30"/>
      <c r="X173" s="30"/>
      <c r="Y173" s="30"/>
      <c r="Z173" s="30"/>
      <c r="AA173" s="30"/>
      <c r="AB173" s="30"/>
      <c r="AC173" s="30"/>
    </row>
    <row r="174" spans="1:29" ht="56.25" x14ac:dyDescent="0.2">
      <c r="A174" s="889"/>
      <c r="B174" s="26"/>
      <c r="C174" s="27" t="s">
        <v>270</v>
      </c>
      <c r="D174" s="28" t="s">
        <v>268</v>
      </c>
      <c r="E174" s="29" t="s">
        <v>317</v>
      </c>
      <c r="F174" s="30">
        <v>16494.740000000002</v>
      </c>
      <c r="G174" s="31">
        <f t="shared" si="75"/>
        <v>0.7458472451825513</v>
      </c>
      <c r="H174" s="32">
        <v>22115.439999999999</v>
      </c>
      <c r="I174" s="33">
        <v>0</v>
      </c>
      <c r="J174" s="34">
        <f t="shared" si="78"/>
        <v>0</v>
      </c>
      <c r="K174" s="869">
        <f t="shared" si="76"/>
        <v>0</v>
      </c>
      <c r="L174" s="30">
        <f>SUM(M174:Q174)</f>
        <v>0</v>
      </c>
      <c r="M174" s="30"/>
      <c r="N174" s="30"/>
      <c r="O174" s="30"/>
      <c r="P174" s="30"/>
      <c r="Q174" s="30"/>
      <c r="R174" s="30"/>
      <c r="S174" s="30">
        <f>SUM(T174:AC174)</f>
        <v>0</v>
      </c>
      <c r="T174" s="30"/>
      <c r="U174" s="30"/>
      <c r="V174" s="30"/>
      <c r="W174" s="30"/>
      <c r="X174" s="30"/>
      <c r="Y174" s="30"/>
      <c r="Z174" s="30"/>
      <c r="AA174" s="30"/>
      <c r="AB174" s="30"/>
      <c r="AC174" s="30"/>
    </row>
    <row r="175" spans="1:29" x14ac:dyDescent="0.2">
      <c r="A175" s="885" t="s">
        <v>318</v>
      </c>
      <c r="B175" s="13"/>
      <c r="C175" s="13"/>
      <c r="D175" s="14" t="s">
        <v>319</v>
      </c>
      <c r="E175" s="15" t="str">
        <f>E176</f>
        <v>68 519,00</v>
      </c>
      <c r="F175" s="15">
        <f t="shared" ref="F175:AC176" si="79">F176</f>
        <v>68519</v>
      </c>
      <c r="G175" s="16">
        <f t="shared" si="75"/>
        <v>1</v>
      </c>
      <c r="H175" s="15">
        <f t="shared" si="79"/>
        <v>68519</v>
      </c>
      <c r="I175" s="17">
        <f t="shared" si="79"/>
        <v>0</v>
      </c>
      <c r="J175" s="80">
        <f t="shared" si="78"/>
        <v>0</v>
      </c>
      <c r="K175" s="878">
        <f t="shared" si="76"/>
        <v>0</v>
      </c>
      <c r="L175" s="84">
        <f t="shared" si="79"/>
        <v>0</v>
      </c>
      <c r="M175" s="15">
        <f t="shared" si="79"/>
        <v>0</v>
      </c>
      <c r="N175" s="15">
        <f t="shared" si="79"/>
        <v>0</v>
      </c>
      <c r="O175" s="15">
        <f t="shared" si="79"/>
        <v>0</v>
      </c>
      <c r="P175" s="15">
        <f t="shared" si="79"/>
        <v>0</v>
      </c>
      <c r="Q175" s="15">
        <f t="shared" si="79"/>
        <v>0</v>
      </c>
      <c r="R175" s="15">
        <f t="shared" si="79"/>
        <v>0</v>
      </c>
      <c r="S175" s="15">
        <f t="shared" si="79"/>
        <v>0</v>
      </c>
      <c r="T175" s="15">
        <f t="shared" si="79"/>
        <v>0</v>
      </c>
      <c r="U175" s="15">
        <f t="shared" si="79"/>
        <v>0</v>
      </c>
      <c r="V175" s="15">
        <f t="shared" si="79"/>
        <v>0</v>
      </c>
      <c r="W175" s="15">
        <f t="shared" si="79"/>
        <v>0</v>
      </c>
      <c r="X175" s="15">
        <f t="shared" si="79"/>
        <v>0</v>
      </c>
      <c r="Y175" s="15">
        <f t="shared" si="79"/>
        <v>0</v>
      </c>
      <c r="Z175" s="15">
        <f t="shared" si="79"/>
        <v>0</v>
      </c>
      <c r="AA175" s="15">
        <f t="shared" si="79"/>
        <v>0</v>
      </c>
      <c r="AB175" s="15">
        <f t="shared" si="79"/>
        <v>0</v>
      </c>
      <c r="AC175" s="18">
        <f t="shared" si="79"/>
        <v>0</v>
      </c>
    </row>
    <row r="176" spans="1:29" ht="15" x14ac:dyDescent="0.2">
      <c r="A176" s="887"/>
      <c r="B176" s="19" t="s">
        <v>320</v>
      </c>
      <c r="C176" s="20"/>
      <c r="D176" s="21" t="s">
        <v>321</v>
      </c>
      <c r="E176" s="22" t="str">
        <f>E177</f>
        <v>68 519,00</v>
      </c>
      <c r="F176" s="22">
        <f t="shared" si="79"/>
        <v>68519</v>
      </c>
      <c r="G176" s="23">
        <f t="shared" si="75"/>
        <v>1</v>
      </c>
      <c r="H176" s="22">
        <f t="shared" si="79"/>
        <v>68519</v>
      </c>
      <c r="I176" s="24">
        <f t="shared" si="79"/>
        <v>0</v>
      </c>
      <c r="J176" s="37">
        <f t="shared" si="78"/>
        <v>0</v>
      </c>
      <c r="K176" s="870">
        <f t="shared" si="76"/>
        <v>0</v>
      </c>
      <c r="L176" s="38">
        <f t="shared" si="79"/>
        <v>0</v>
      </c>
      <c r="M176" s="22">
        <f t="shared" si="79"/>
        <v>0</v>
      </c>
      <c r="N176" s="22">
        <f t="shared" si="79"/>
        <v>0</v>
      </c>
      <c r="O176" s="22">
        <f t="shared" si="79"/>
        <v>0</v>
      </c>
      <c r="P176" s="22">
        <f t="shared" si="79"/>
        <v>0</v>
      </c>
      <c r="Q176" s="22">
        <f t="shared" si="79"/>
        <v>0</v>
      </c>
      <c r="R176" s="22">
        <f t="shared" si="79"/>
        <v>0</v>
      </c>
      <c r="S176" s="22">
        <f t="shared" si="79"/>
        <v>0</v>
      </c>
      <c r="T176" s="22">
        <f t="shared" si="79"/>
        <v>0</v>
      </c>
      <c r="U176" s="22">
        <f t="shared" si="79"/>
        <v>0</v>
      </c>
      <c r="V176" s="22">
        <f t="shared" si="79"/>
        <v>0</v>
      </c>
      <c r="W176" s="22">
        <f t="shared" si="79"/>
        <v>0</v>
      </c>
      <c r="X176" s="22">
        <f t="shared" si="79"/>
        <v>0</v>
      </c>
      <c r="Y176" s="22">
        <f t="shared" si="79"/>
        <v>0</v>
      </c>
      <c r="Z176" s="22">
        <f t="shared" si="79"/>
        <v>0</v>
      </c>
      <c r="AA176" s="22">
        <f t="shared" si="79"/>
        <v>0</v>
      </c>
      <c r="AB176" s="22">
        <f t="shared" si="79"/>
        <v>0</v>
      </c>
      <c r="AC176" s="25">
        <f t="shared" si="79"/>
        <v>0</v>
      </c>
    </row>
    <row r="177" spans="1:29" ht="33.75" x14ac:dyDescent="0.2">
      <c r="A177" s="889"/>
      <c r="B177" s="26"/>
      <c r="C177" s="27" t="s">
        <v>215</v>
      </c>
      <c r="D177" s="28" t="s">
        <v>216</v>
      </c>
      <c r="E177" s="29" t="s">
        <v>322</v>
      </c>
      <c r="F177" s="30">
        <v>68519</v>
      </c>
      <c r="G177" s="31">
        <f t="shared" si="75"/>
        <v>1</v>
      </c>
      <c r="H177" s="32">
        <v>68519</v>
      </c>
      <c r="I177" s="33">
        <v>0</v>
      </c>
      <c r="J177" s="34">
        <f t="shared" si="78"/>
        <v>0</v>
      </c>
      <c r="K177" s="35">
        <f t="shared" si="76"/>
        <v>0</v>
      </c>
      <c r="L177" s="30">
        <f>SUM(M177:Q177)</f>
        <v>0</v>
      </c>
      <c r="M177" s="30"/>
      <c r="N177" s="30"/>
      <c r="O177" s="30"/>
      <c r="P177" s="30"/>
      <c r="Q177" s="30"/>
      <c r="R177" s="30"/>
      <c r="S177" s="30">
        <f>SUM(T177:AC177)</f>
        <v>0</v>
      </c>
      <c r="T177" s="30"/>
      <c r="U177" s="30"/>
      <c r="V177" s="30"/>
      <c r="W177" s="30"/>
      <c r="X177" s="30"/>
      <c r="Y177" s="30"/>
      <c r="Z177" s="30"/>
      <c r="AA177" s="30"/>
      <c r="AB177" s="30"/>
      <c r="AC177" s="30"/>
    </row>
    <row r="178" spans="1:29" x14ac:dyDescent="0.2">
      <c r="A178" s="910" t="s">
        <v>323</v>
      </c>
      <c r="B178" s="911"/>
      <c r="C178" s="911"/>
      <c r="D178" s="912" t="s">
        <v>324</v>
      </c>
      <c r="E178" s="913">
        <f>E179+E185+E192+E194+E196</f>
        <v>21296558</v>
      </c>
      <c r="F178" s="913">
        <f>F179+F185+F192+F194+F196</f>
        <v>17398740.850000001</v>
      </c>
      <c r="G178" s="914">
        <f t="shared" si="75"/>
        <v>0.81697431340782867</v>
      </c>
      <c r="H178" s="913">
        <f>H179+H185+H192+H194+H196</f>
        <v>21328336.079999998</v>
      </c>
      <c r="I178" s="915">
        <f>I179+I185+I192+I194+I196</f>
        <v>19678591</v>
      </c>
      <c r="J178" s="80">
        <f t="shared" si="78"/>
        <v>0.92402683100245586</v>
      </c>
      <c r="K178" s="878">
        <f>L178+R178+S178</f>
        <v>19678591</v>
      </c>
      <c r="L178" s="84">
        <f>L179+L185+L192+L194+L196</f>
        <v>19529591</v>
      </c>
      <c r="M178" s="15">
        <f>M179+M185+M192+M194+M196</f>
        <v>19529591</v>
      </c>
      <c r="N178" s="15">
        <f t="shared" ref="N178:Q178" si="80">N179+N185+N192+N194+N196</f>
        <v>0</v>
      </c>
      <c r="O178" s="15">
        <f t="shared" si="80"/>
        <v>0</v>
      </c>
      <c r="P178" s="15">
        <f t="shared" si="80"/>
        <v>0</v>
      </c>
      <c r="Q178" s="15">
        <f t="shared" si="80"/>
        <v>0</v>
      </c>
      <c r="R178" s="15">
        <f>R179+R185+R192+R194+R196</f>
        <v>149000</v>
      </c>
      <c r="S178" s="15">
        <f t="shared" ref="S178:AC178" si="81">S179+S185+S192+S194</f>
        <v>0</v>
      </c>
      <c r="T178" s="15">
        <f t="shared" si="81"/>
        <v>0</v>
      </c>
      <c r="U178" s="15">
        <f t="shared" si="81"/>
        <v>0</v>
      </c>
      <c r="V178" s="15">
        <f t="shared" si="81"/>
        <v>0</v>
      </c>
      <c r="W178" s="15">
        <f t="shared" si="81"/>
        <v>0</v>
      </c>
      <c r="X178" s="15">
        <f t="shared" si="81"/>
        <v>0</v>
      </c>
      <c r="Y178" s="15">
        <f t="shared" si="81"/>
        <v>0</v>
      </c>
      <c r="Z178" s="15">
        <f t="shared" si="81"/>
        <v>0</v>
      </c>
      <c r="AA178" s="15">
        <f t="shared" si="81"/>
        <v>0</v>
      </c>
      <c r="AB178" s="15">
        <f t="shared" si="81"/>
        <v>0</v>
      </c>
      <c r="AC178" s="18">
        <f t="shared" si="81"/>
        <v>0</v>
      </c>
    </row>
    <row r="179" spans="1:29" ht="15" x14ac:dyDescent="0.2">
      <c r="A179" s="887"/>
      <c r="B179" s="908" t="s">
        <v>325</v>
      </c>
      <c r="C179" s="97"/>
      <c r="D179" s="98" t="s">
        <v>326</v>
      </c>
      <c r="E179" s="86">
        <f>E180+E183+E184+E181+E182</f>
        <v>12675990</v>
      </c>
      <c r="F179" s="86">
        <f t="shared" ref="F179:I179" si="82">F180+F183+F184+F181+F182</f>
        <v>10586765.58</v>
      </c>
      <c r="G179" s="87">
        <f t="shared" si="75"/>
        <v>0.83518254432198191</v>
      </c>
      <c r="H179" s="86">
        <f t="shared" si="82"/>
        <v>12674778.58</v>
      </c>
      <c r="I179" s="88">
        <f t="shared" si="82"/>
        <v>11828801</v>
      </c>
      <c r="J179" s="89">
        <f t="shared" si="78"/>
        <v>0.93316585134573315</v>
      </c>
      <c r="K179" s="870">
        <f t="shared" si="76"/>
        <v>11828801</v>
      </c>
      <c r="L179" s="38">
        <f t="shared" ref="L179:AC179" si="83">L180+L183+L184</f>
        <v>11786801</v>
      </c>
      <c r="M179" s="22">
        <f t="shared" si="83"/>
        <v>11786801</v>
      </c>
      <c r="N179" s="22">
        <f t="shared" si="83"/>
        <v>0</v>
      </c>
      <c r="O179" s="22">
        <f t="shared" si="83"/>
        <v>0</v>
      </c>
      <c r="P179" s="22">
        <f t="shared" si="83"/>
        <v>0</v>
      </c>
      <c r="Q179" s="22">
        <f t="shared" si="83"/>
        <v>0</v>
      </c>
      <c r="R179" s="22">
        <f>R180+R183+R184+R181+R182</f>
        <v>42000</v>
      </c>
      <c r="S179" s="22">
        <f t="shared" si="83"/>
        <v>0</v>
      </c>
      <c r="T179" s="22">
        <f t="shared" si="83"/>
        <v>0</v>
      </c>
      <c r="U179" s="22">
        <f t="shared" si="83"/>
        <v>0</v>
      </c>
      <c r="V179" s="22">
        <f t="shared" si="83"/>
        <v>0</v>
      </c>
      <c r="W179" s="22">
        <f t="shared" si="83"/>
        <v>0</v>
      </c>
      <c r="X179" s="22">
        <f t="shared" si="83"/>
        <v>0</v>
      </c>
      <c r="Y179" s="22">
        <f t="shared" si="83"/>
        <v>0</v>
      </c>
      <c r="Z179" s="22">
        <f t="shared" si="83"/>
        <v>0</v>
      </c>
      <c r="AA179" s="22">
        <f t="shared" si="83"/>
        <v>0</v>
      </c>
      <c r="AB179" s="22">
        <f t="shared" si="83"/>
        <v>0</v>
      </c>
      <c r="AC179" s="25">
        <f t="shared" si="83"/>
        <v>0</v>
      </c>
    </row>
    <row r="180" spans="1:29" ht="56.25" x14ac:dyDescent="0.2">
      <c r="A180" s="889"/>
      <c r="B180" s="26"/>
      <c r="C180" s="27" t="s">
        <v>327</v>
      </c>
      <c r="D180" s="28" t="s">
        <v>328</v>
      </c>
      <c r="E180" s="29" t="s">
        <v>95</v>
      </c>
      <c r="F180" s="125">
        <v>788.58</v>
      </c>
      <c r="G180" s="140">
        <f t="shared" si="75"/>
        <v>0.39429000000000003</v>
      </c>
      <c r="H180" s="32">
        <v>788.58</v>
      </c>
      <c r="I180" s="33">
        <v>0</v>
      </c>
      <c r="J180" s="34">
        <f t="shared" si="78"/>
        <v>0</v>
      </c>
      <c r="K180" s="869">
        <f t="shared" si="76"/>
        <v>0</v>
      </c>
      <c r="L180" s="36">
        <f>SUM(M180:Q180)</f>
        <v>0</v>
      </c>
      <c r="M180" s="30"/>
      <c r="N180" s="30"/>
      <c r="O180" s="30"/>
      <c r="P180" s="30"/>
      <c r="Q180" s="30"/>
      <c r="R180" s="30">
        <v>0</v>
      </c>
      <c r="S180" s="30">
        <f>SUM(T180:AC180)</f>
        <v>0</v>
      </c>
      <c r="T180" s="30"/>
      <c r="U180" s="30"/>
      <c r="V180" s="30"/>
      <c r="W180" s="30"/>
      <c r="X180" s="30"/>
      <c r="Y180" s="30"/>
      <c r="Z180" s="30"/>
      <c r="AA180" s="30"/>
      <c r="AB180" s="30"/>
      <c r="AC180" s="30"/>
    </row>
    <row r="181" spans="1:29" x14ac:dyDescent="0.2">
      <c r="A181" s="889"/>
      <c r="B181" s="26"/>
      <c r="C181" s="39" t="s">
        <v>45</v>
      </c>
      <c r="D181" s="28" t="s">
        <v>329</v>
      </c>
      <c r="E181" s="29">
        <v>0</v>
      </c>
      <c r="F181" s="125">
        <v>0</v>
      </c>
      <c r="G181" s="140">
        <v>0</v>
      </c>
      <c r="H181" s="32">
        <v>0</v>
      </c>
      <c r="I181" s="33">
        <v>2000</v>
      </c>
      <c r="J181" s="34">
        <v>0</v>
      </c>
      <c r="K181" s="869">
        <f t="shared" si="76"/>
        <v>2000</v>
      </c>
      <c r="L181" s="36"/>
      <c r="M181" s="30"/>
      <c r="N181" s="30"/>
      <c r="O181" s="30"/>
      <c r="P181" s="30"/>
      <c r="Q181" s="30"/>
      <c r="R181" s="30">
        <v>2000</v>
      </c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</row>
    <row r="182" spans="1:29" x14ac:dyDescent="0.2">
      <c r="A182" s="889"/>
      <c r="B182" s="26"/>
      <c r="C182" s="39" t="s">
        <v>211</v>
      </c>
      <c r="D182" s="28" t="s">
        <v>212</v>
      </c>
      <c r="E182" s="29">
        <v>0</v>
      </c>
      <c r="F182" s="125">
        <v>0</v>
      </c>
      <c r="G182" s="140">
        <v>0</v>
      </c>
      <c r="H182" s="32">
        <v>0</v>
      </c>
      <c r="I182" s="33">
        <v>40000</v>
      </c>
      <c r="J182" s="34">
        <v>0</v>
      </c>
      <c r="K182" s="869">
        <f t="shared" si="76"/>
        <v>40000</v>
      </c>
      <c r="L182" s="36"/>
      <c r="M182" s="30"/>
      <c r="N182" s="30"/>
      <c r="O182" s="30"/>
      <c r="P182" s="30"/>
      <c r="Q182" s="30"/>
      <c r="R182" s="30">
        <v>40000</v>
      </c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</row>
    <row r="183" spans="1:29" ht="56.25" x14ac:dyDescent="0.2">
      <c r="A183" s="889"/>
      <c r="B183" s="26"/>
      <c r="C183" s="27" t="s">
        <v>330</v>
      </c>
      <c r="D183" s="28" t="s">
        <v>331</v>
      </c>
      <c r="E183" s="29" t="s">
        <v>332</v>
      </c>
      <c r="F183" s="125">
        <v>10568527</v>
      </c>
      <c r="G183" s="140">
        <f t="shared" si="75"/>
        <v>0.83651538429268979</v>
      </c>
      <c r="H183" s="32">
        <v>12633990</v>
      </c>
      <c r="I183" s="33">
        <f>K183</f>
        <v>11786801</v>
      </c>
      <c r="J183" s="34">
        <f t="shared" si="78"/>
        <v>0.93294367021028191</v>
      </c>
      <c r="K183" s="869">
        <f t="shared" si="76"/>
        <v>11786801</v>
      </c>
      <c r="L183" s="36">
        <f>SUM(M183:Q183)</f>
        <v>11786801</v>
      </c>
      <c r="M183" s="30">
        <v>11786801</v>
      </c>
      <c r="N183" s="30"/>
      <c r="O183" s="30"/>
      <c r="P183" s="30"/>
      <c r="Q183" s="30"/>
      <c r="R183" s="30"/>
      <c r="S183" s="30">
        <f>SUM(T183:AC183)</f>
        <v>0</v>
      </c>
      <c r="T183" s="30"/>
      <c r="U183" s="30"/>
      <c r="V183" s="30"/>
      <c r="W183" s="30"/>
      <c r="X183" s="30"/>
      <c r="Y183" s="30"/>
      <c r="Z183" s="30"/>
      <c r="AA183" s="30"/>
      <c r="AB183" s="30"/>
      <c r="AC183" s="30"/>
    </row>
    <row r="184" spans="1:29" ht="56.25" x14ac:dyDescent="0.2">
      <c r="A184" s="889"/>
      <c r="B184" s="26"/>
      <c r="C184" s="27" t="s">
        <v>277</v>
      </c>
      <c r="D184" s="28" t="s">
        <v>278</v>
      </c>
      <c r="E184" s="29" t="s">
        <v>85</v>
      </c>
      <c r="F184" s="125">
        <v>17450</v>
      </c>
      <c r="G184" s="140">
        <f t="shared" si="75"/>
        <v>0.43625000000000003</v>
      </c>
      <c r="H184" s="32">
        <v>40000</v>
      </c>
      <c r="I184" s="33">
        <v>0</v>
      </c>
      <c r="J184" s="34">
        <f t="shared" si="78"/>
        <v>0</v>
      </c>
      <c r="K184" s="35">
        <f t="shared" si="76"/>
        <v>0</v>
      </c>
      <c r="L184" s="36">
        <f>SUM(M184:Q184)</f>
        <v>0</v>
      </c>
      <c r="M184" s="30"/>
      <c r="N184" s="30"/>
      <c r="O184" s="30"/>
      <c r="P184" s="30"/>
      <c r="Q184" s="30"/>
      <c r="R184" s="30">
        <v>0</v>
      </c>
      <c r="S184" s="30">
        <f>SUM(T184:AC184)</f>
        <v>0</v>
      </c>
      <c r="T184" s="30"/>
      <c r="U184" s="30"/>
      <c r="V184" s="30"/>
      <c r="W184" s="30"/>
      <c r="X184" s="30"/>
      <c r="Y184" s="30"/>
      <c r="Z184" s="30"/>
      <c r="AA184" s="30"/>
      <c r="AB184" s="30"/>
      <c r="AC184" s="30"/>
    </row>
    <row r="185" spans="1:29" ht="45" x14ac:dyDescent="0.2">
      <c r="A185" s="887"/>
      <c r="B185" s="19" t="s">
        <v>333</v>
      </c>
      <c r="C185" s="20"/>
      <c r="D185" s="21" t="s">
        <v>334</v>
      </c>
      <c r="E185" s="22">
        <f>E186+E189+E190+E191+E187</f>
        <v>7690368</v>
      </c>
      <c r="F185" s="22">
        <f>F186+F189+F190+F191+F187</f>
        <v>5881775.2700000005</v>
      </c>
      <c r="G185" s="23">
        <f t="shared" si="75"/>
        <v>0.76482364302982642</v>
      </c>
      <c r="H185" s="22">
        <f>H186+H189+H190+H191+H187</f>
        <v>7723357.5</v>
      </c>
      <c r="I185" s="24">
        <f>I186+I187+I188+I189+I190+I191</f>
        <v>7788871</v>
      </c>
      <c r="J185" s="37">
        <f t="shared" si="78"/>
        <v>1.0128086198215742</v>
      </c>
      <c r="K185" s="870">
        <f t="shared" si="76"/>
        <v>7788871</v>
      </c>
      <c r="L185" s="60">
        <f>L186+L189+L190+L191+L187</f>
        <v>7681871</v>
      </c>
      <c r="M185" s="60">
        <f t="shared" ref="M185:AB185" si="84">M186+M189+M190+M191+M187</f>
        <v>7681871</v>
      </c>
      <c r="N185" s="60">
        <f t="shared" si="84"/>
        <v>0</v>
      </c>
      <c r="O185" s="60">
        <f t="shared" si="84"/>
        <v>0</v>
      </c>
      <c r="P185" s="60">
        <f t="shared" si="84"/>
        <v>0</v>
      </c>
      <c r="Q185" s="60">
        <f t="shared" si="84"/>
        <v>0</v>
      </c>
      <c r="R185" s="60">
        <f>R186+R187+R188+R189+R190+R191</f>
        <v>107000</v>
      </c>
      <c r="S185" s="60">
        <f t="shared" si="84"/>
        <v>0</v>
      </c>
      <c r="T185" s="60">
        <f t="shared" si="84"/>
        <v>0</v>
      </c>
      <c r="U185" s="60">
        <f t="shared" si="84"/>
        <v>0</v>
      </c>
      <c r="V185" s="60">
        <f t="shared" si="84"/>
        <v>0</v>
      </c>
      <c r="W185" s="60">
        <f t="shared" si="84"/>
        <v>0</v>
      </c>
      <c r="X185" s="60">
        <f t="shared" si="84"/>
        <v>0</v>
      </c>
      <c r="Y185" s="60">
        <f t="shared" si="84"/>
        <v>0</v>
      </c>
      <c r="Z185" s="60">
        <f t="shared" si="84"/>
        <v>0</v>
      </c>
      <c r="AA185" s="60">
        <f t="shared" si="84"/>
        <v>0</v>
      </c>
      <c r="AB185" s="60">
        <f t="shared" si="84"/>
        <v>0</v>
      </c>
      <c r="AC185" s="60">
        <f>AC186+AC189+AC190+AC191+AC187</f>
        <v>0</v>
      </c>
    </row>
    <row r="186" spans="1:29" ht="56.25" x14ac:dyDescent="0.2">
      <c r="A186" s="889"/>
      <c r="B186" s="26"/>
      <c r="C186" s="27" t="s">
        <v>327</v>
      </c>
      <c r="D186" s="28" t="s">
        <v>328</v>
      </c>
      <c r="E186" s="29" t="s">
        <v>335</v>
      </c>
      <c r="F186" s="30">
        <v>2271.7800000000002</v>
      </c>
      <c r="G186" s="31">
        <f t="shared" si="75"/>
        <v>0.45435600000000004</v>
      </c>
      <c r="H186" s="32">
        <v>2271.7800000000002</v>
      </c>
      <c r="I186" s="33">
        <v>0</v>
      </c>
      <c r="J186" s="34">
        <f t="shared" si="78"/>
        <v>0</v>
      </c>
      <c r="K186" s="869">
        <f t="shared" si="76"/>
        <v>0</v>
      </c>
      <c r="L186" s="30">
        <f>SUM(M186:Q186)</f>
        <v>0</v>
      </c>
      <c r="M186" s="30"/>
      <c r="N186" s="30"/>
      <c r="O186" s="30"/>
      <c r="P186" s="30"/>
      <c r="Q186" s="30"/>
      <c r="R186" s="30">
        <v>0</v>
      </c>
      <c r="S186" s="30">
        <f>SUM(T186:AC186)</f>
        <v>0</v>
      </c>
      <c r="T186" s="30"/>
      <c r="U186" s="30"/>
      <c r="V186" s="30"/>
      <c r="W186" s="30"/>
      <c r="X186" s="30"/>
      <c r="Y186" s="30"/>
      <c r="Z186" s="30"/>
      <c r="AA186" s="30"/>
      <c r="AB186" s="30"/>
      <c r="AC186" s="30"/>
    </row>
    <row r="187" spans="1:29" x14ac:dyDescent="0.2">
      <c r="A187" s="889"/>
      <c r="B187" s="26"/>
      <c r="C187" s="39" t="s">
        <v>45</v>
      </c>
      <c r="D187" s="119" t="s">
        <v>46</v>
      </c>
      <c r="E187" s="29">
        <v>0</v>
      </c>
      <c r="F187" s="30">
        <v>0</v>
      </c>
      <c r="G187" s="31">
        <v>0</v>
      </c>
      <c r="H187" s="32">
        <v>0</v>
      </c>
      <c r="I187" s="33">
        <v>5000</v>
      </c>
      <c r="J187" s="34">
        <v>0</v>
      </c>
      <c r="K187" s="869">
        <f t="shared" si="76"/>
        <v>5000</v>
      </c>
      <c r="L187" s="30"/>
      <c r="M187" s="30"/>
      <c r="N187" s="30"/>
      <c r="O187" s="30"/>
      <c r="P187" s="30"/>
      <c r="Q187" s="30"/>
      <c r="R187" s="30">
        <v>5000</v>
      </c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</row>
    <row r="188" spans="1:29" x14ac:dyDescent="0.2">
      <c r="A188" s="889"/>
      <c r="B188" s="26"/>
      <c r="C188" s="39" t="s">
        <v>211</v>
      </c>
      <c r="D188" s="28" t="s">
        <v>212</v>
      </c>
      <c r="E188" s="29">
        <v>0</v>
      </c>
      <c r="F188" s="30">
        <v>0</v>
      </c>
      <c r="G188" s="31">
        <v>0</v>
      </c>
      <c r="H188" s="32">
        <v>0</v>
      </c>
      <c r="I188" s="33">
        <v>40000</v>
      </c>
      <c r="J188" s="34">
        <v>0</v>
      </c>
      <c r="K188" s="869">
        <f t="shared" si="76"/>
        <v>40000</v>
      </c>
      <c r="L188" s="30"/>
      <c r="M188" s="30"/>
      <c r="N188" s="30"/>
      <c r="O188" s="30"/>
      <c r="P188" s="30"/>
      <c r="Q188" s="30"/>
      <c r="R188" s="30">
        <v>40000</v>
      </c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</row>
    <row r="189" spans="1:29" ht="45" x14ac:dyDescent="0.2">
      <c r="A189" s="889"/>
      <c r="B189" s="26"/>
      <c r="C189" s="27" t="s">
        <v>47</v>
      </c>
      <c r="D189" s="28" t="s">
        <v>48</v>
      </c>
      <c r="E189" s="29" t="s">
        <v>336</v>
      </c>
      <c r="F189" s="30">
        <v>5774124</v>
      </c>
      <c r="G189" s="31">
        <f t="shared" si="75"/>
        <v>0.7614194642802512</v>
      </c>
      <c r="H189" s="32">
        <v>7583368</v>
      </c>
      <c r="I189" s="33">
        <f>K189</f>
        <v>7681871</v>
      </c>
      <c r="J189" s="34">
        <f t="shared" si="78"/>
        <v>1.0129893472135336</v>
      </c>
      <c r="K189" s="869">
        <f t="shared" si="76"/>
        <v>7681871</v>
      </c>
      <c r="L189" s="30">
        <f>SUM(M189:Q189)</f>
        <v>7681871</v>
      </c>
      <c r="M189" s="30">
        <v>7681871</v>
      </c>
      <c r="N189" s="30"/>
      <c r="O189" s="30"/>
      <c r="P189" s="30"/>
      <c r="Q189" s="30"/>
      <c r="R189" s="30"/>
      <c r="S189" s="30">
        <f>SUM(T189:AC189)</f>
        <v>0</v>
      </c>
      <c r="T189" s="30"/>
      <c r="U189" s="30"/>
      <c r="V189" s="30"/>
      <c r="W189" s="30"/>
      <c r="X189" s="30"/>
      <c r="Y189" s="30"/>
      <c r="Z189" s="30"/>
      <c r="AA189" s="30"/>
      <c r="AB189" s="30"/>
      <c r="AC189" s="30"/>
    </row>
    <row r="190" spans="1:29" ht="33.75" x14ac:dyDescent="0.2">
      <c r="A190" s="889"/>
      <c r="B190" s="26"/>
      <c r="C190" s="899" t="s">
        <v>109</v>
      </c>
      <c r="D190" s="900" t="s">
        <v>110</v>
      </c>
      <c r="E190" s="901" t="s">
        <v>337</v>
      </c>
      <c r="F190" s="30">
        <v>76600.78</v>
      </c>
      <c r="G190" s="909">
        <f t="shared" si="75"/>
        <v>1.2354964516129032</v>
      </c>
      <c r="H190" s="32">
        <v>86982.21</v>
      </c>
      <c r="I190" s="33">
        <v>62000</v>
      </c>
      <c r="J190" s="34">
        <f t="shared" si="78"/>
        <v>1</v>
      </c>
      <c r="K190" s="869">
        <f t="shared" si="76"/>
        <v>62000</v>
      </c>
      <c r="L190" s="30">
        <f>SUM(M190:Q190)</f>
        <v>0</v>
      </c>
      <c r="M190" s="30"/>
      <c r="N190" s="30"/>
      <c r="O190" s="30"/>
      <c r="P190" s="30"/>
      <c r="Q190" s="30"/>
      <c r="R190" s="30">
        <v>62000</v>
      </c>
      <c r="S190" s="30">
        <f>SUM(T190:AC190)</f>
        <v>0</v>
      </c>
      <c r="T190" s="30"/>
      <c r="U190" s="30"/>
      <c r="V190" s="30"/>
      <c r="W190" s="30"/>
      <c r="X190" s="30"/>
      <c r="Y190" s="30"/>
      <c r="Z190" s="30"/>
      <c r="AA190" s="30"/>
      <c r="AB190" s="30"/>
      <c r="AC190" s="30"/>
    </row>
    <row r="191" spans="1:29" ht="56.25" x14ac:dyDescent="0.2">
      <c r="A191" s="889"/>
      <c r="B191" s="26"/>
      <c r="C191" s="118" t="s">
        <v>277</v>
      </c>
      <c r="D191" s="119" t="s">
        <v>278</v>
      </c>
      <c r="E191" s="120" t="s">
        <v>85</v>
      </c>
      <c r="F191" s="124">
        <v>28778.71</v>
      </c>
      <c r="G191" s="96">
        <f t="shared" si="75"/>
        <v>0.71946774999999996</v>
      </c>
      <c r="H191" s="902">
        <v>50735.51</v>
      </c>
      <c r="I191" s="123">
        <v>0</v>
      </c>
      <c r="J191" s="139">
        <f t="shared" si="78"/>
        <v>0</v>
      </c>
      <c r="K191" s="869">
        <f t="shared" si="76"/>
        <v>0</v>
      </c>
      <c r="L191" s="30">
        <f>SUM(M191:Q191)</f>
        <v>0</v>
      </c>
      <c r="M191" s="30"/>
      <c r="N191" s="30"/>
      <c r="O191" s="30"/>
      <c r="P191" s="30"/>
      <c r="Q191" s="30"/>
      <c r="R191" s="30">
        <v>0</v>
      </c>
      <c r="S191" s="30">
        <f>SUM(T191:AC191)</f>
        <v>0</v>
      </c>
      <c r="T191" s="30"/>
      <c r="U191" s="30"/>
      <c r="V191" s="30"/>
      <c r="W191" s="30"/>
      <c r="X191" s="30"/>
      <c r="Y191" s="30"/>
      <c r="Z191" s="30"/>
      <c r="AA191" s="30"/>
      <c r="AB191" s="30"/>
      <c r="AC191" s="30"/>
    </row>
    <row r="192" spans="1:29" ht="15" x14ac:dyDescent="0.2">
      <c r="A192" s="887"/>
      <c r="B192" s="19" t="s">
        <v>338</v>
      </c>
      <c r="C192" s="20"/>
      <c r="D192" s="21" t="s">
        <v>339</v>
      </c>
      <c r="E192" s="22" t="str">
        <f>E193</f>
        <v>200,00</v>
      </c>
      <c r="F192" s="22">
        <f t="shared" ref="F192:AC192" si="85">F193</f>
        <v>200</v>
      </c>
      <c r="G192" s="23">
        <f t="shared" si="75"/>
        <v>1</v>
      </c>
      <c r="H192" s="22">
        <f t="shared" si="85"/>
        <v>200</v>
      </c>
      <c r="I192" s="24">
        <f t="shared" si="85"/>
        <v>0</v>
      </c>
      <c r="J192" s="37">
        <f t="shared" si="78"/>
        <v>0</v>
      </c>
      <c r="K192" s="870">
        <f t="shared" si="76"/>
        <v>0</v>
      </c>
      <c r="L192" s="38">
        <f t="shared" si="85"/>
        <v>0</v>
      </c>
      <c r="M192" s="22">
        <f t="shared" si="85"/>
        <v>0</v>
      </c>
      <c r="N192" s="22">
        <f t="shared" si="85"/>
        <v>0</v>
      </c>
      <c r="O192" s="22">
        <f t="shared" si="85"/>
        <v>0</v>
      </c>
      <c r="P192" s="22">
        <f t="shared" si="85"/>
        <v>0</v>
      </c>
      <c r="Q192" s="22">
        <f t="shared" si="85"/>
        <v>0</v>
      </c>
      <c r="R192" s="22">
        <f t="shared" si="85"/>
        <v>0</v>
      </c>
      <c r="S192" s="22">
        <f t="shared" si="85"/>
        <v>0</v>
      </c>
      <c r="T192" s="22">
        <f t="shared" si="85"/>
        <v>0</v>
      </c>
      <c r="U192" s="22">
        <f t="shared" si="85"/>
        <v>0</v>
      </c>
      <c r="V192" s="22">
        <f t="shared" si="85"/>
        <v>0</v>
      </c>
      <c r="W192" s="22">
        <f t="shared" si="85"/>
        <v>0</v>
      </c>
      <c r="X192" s="22">
        <f t="shared" si="85"/>
        <v>0</v>
      </c>
      <c r="Y192" s="22">
        <f t="shared" si="85"/>
        <v>0</v>
      </c>
      <c r="Z192" s="22">
        <f t="shared" si="85"/>
        <v>0</v>
      </c>
      <c r="AA192" s="22">
        <f t="shared" si="85"/>
        <v>0</v>
      </c>
      <c r="AB192" s="22">
        <f t="shared" si="85"/>
        <v>0</v>
      </c>
      <c r="AC192" s="25">
        <f t="shared" si="85"/>
        <v>0</v>
      </c>
    </row>
    <row r="193" spans="1:29" ht="45" x14ac:dyDescent="0.2">
      <c r="A193" s="889"/>
      <c r="B193" s="26"/>
      <c r="C193" s="27" t="s">
        <v>47</v>
      </c>
      <c r="D193" s="28" t="s">
        <v>48</v>
      </c>
      <c r="E193" s="29" t="s">
        <v>340</v>
      </c>
      <c r="F193" s="30">
        <v>200</v>
      </c>
      <c r="G193" s="31">
        <f t="shared" si="75"/>
        <v>1</v>
      </c>
      <c r="H193" s="32">
        <v>200</v>
      </c>
      <c r="I193" s="33">
        <v>0</v>
      </c>
      <c r="J193" s="34">
        <f t="shared" si="78"/>
        <v>0</v>
      </c>
      <c r="K193" s="35">
        <f t="shared" si="76"/>
        <v>0</v>
      </c>
      <c r="L193" s="30">
        <f>SUM(M193:Q193)</f>
        <v>0</v>
      </c>
      <c r="M193" s="30"/>
      <c r="N193" s="30"/>
      <c r="O193" s="30"/>
      <c r="P193" s="30"/>
      <c r="Q193" s="30"/>
      <c r="R193" s="30"/>
      <c r="S193" s="30">
        <f>SUM(T193:AC193)</f>
        <v>0</v>
      </c>
      <c r="T193" s="30"/>
      <c r="U193" s="30"/>
      <c r="V193" s="30"/>
      <c r="W193" s="30"/>
      <c r="X193" s="30"/>
      <c r="Y193" s="30"/>
      <c r="Z193" s="30"/>
      <c r="AA193" s="30"/>
      <c r="AB193" s="30"/>
      <c r="AC193" s="30"/>
    </row>
    <row r="194" spans="1:29" ht="15" x14ac:dyDescent="0.2">
      <c r="A194" s="887"/>
      <c r="B194" s="19" t="s">
        <v>341</v>
      </c>
      <c r="C194" s="20"/>
      <c r="D194" s="21" t="s">
        <v>342</v>
      </c>
      <c r="E194" s="22" t="str">
        <f>E195</f>
        <v>930 000,00</v>
      </c>
      <c r="F194" s="22">
        <f t="shared" ref="F194:AC196" si="86">F195</f>
        <v>930000</v>
      </c>
      <c r="G194" s="23">
        <f t="shared" si="75"/>
        <v>1</v>
      </c>
      <c r="H194" s="22">
        <f t="shared" si="86"/>
        <v>930000</v>
      </c>
      <c r="I194" s="24">
        <f t="shared" si="86"/>
        <v>0</v>
      </c>
      <c r="J194" s="37">
        <f t="shared" si="78"/>
        <v>0</v>
      </c>
      <c r="K194" s="870">
        <f t="shared" si="76"/>
        <v>0</v>
      </c>
      <c r="L194" s="38">
        <f t="shared" si="86"/>
        <v>0</v>
      </c>
      <c r="M194" s="22">
        <f t="shared" si="86"/>
        <v>0</v>
      </c>
      <c r="N194" s="22">
        <f t="shared" si="86"/>
        <v>0</v>
      </c>
      <c r="O194" s="22">
        <f t="shared" si="86"/>
        <v>0</v>
      </c>
      <c r="P194" s="22">
        <f t="shared" si="86"/>
        <v>0</v>
      </c>
      <c r="Q194" s="22">
        <f t="shared" si="86"/>
        <v>0</v>
      </c>
      <c r="R194" s="22">
        <f t="shared" si="86"/>
        <v>0</v>
      </c>
      <c r="S194" s="22">
        <f t="shared" si="86"/>
        <v>0</v>
      </c>
      <c r="T194" s="22">
        <f t="shared" si="86"/>
        <v>0</v>
      </c>
      <c r="U194" s="22">
        <f t="shared" si="86"/>
        <v>0</v>
      </c>
      <c r="V194" s="22">
        <f t="shared" si="86"/>
        <v>0</v>
      </c>
      <c r="W194" s="22">
        <f t="shared" si="86"/>
        <v>0</v>
      </c>
      <c r="X194" s="22">
        <f t="shared" si="86"/>
        <v>0</v>
      </c>
      <c r="Y194" s="22">
        <f t="shared" si="86"/>
        <v>0</v>
      </c>
      <c r="Z194" s="22">
        <f t="shared" si="86"/>
        <v>0</v>
      </c>
      <c r="AA194" s="22">
        <f t="shared" si="86"/>
        <v>0</v>
      </c>
      <c r="AB194" s="22">
        <f t="shared" si="86"/>
        <v>0</v>
      </c>
      <c r="AC194" s="25">
        <f t="shared" si="86"/>
        <v>0</v>
      </c>
    </row>
    <row r="195" spans="1:29" ht="45" x14ac:dyDescent="0.2">
      <c r="A195" s="889"/>
      <c r="B195" s="26"/>
      <c r="C195" s="27" t="s">
        <v>47</v>
      </c>
      <c r="D195" s="28" t="s">
        <v>48</v>
      </c>
      <c r="E195" s="29" t="s">
        <v>343</v>
      </c>
      <c r="F195" s="30">
        <v>930000</v>
      </c>
      <c r="G195" s="31">
        <f t="shared" si="75"/>
        <v>1</v>
      </c>
      <c r="H195" s="32">
        <v>930000</v>
      </c>
      <c r="I195" s="33">
        <f>K195</f>
        <v>0</v>
      </c>
      <c r="J195" s="34">
        <f t="shared" si="78"/>
        <v>0</v>
      </c>
      <c r="K195" s="35">
        <f t="shared" si="76"/>
        <v>0</v>
      </c>
      <c r="L195" s="30">
        <f>SUM(M195:Q195)</f>
        <v>0</v>
      </c>
      <c r="M195" s="30">
        <v>0</v>
      </c>
      <c r="N195" s="30"/>
      <c r="O195" s="30"/>
      <c r="P195" s="30"/>
      <c r="Q195" s="30"/>
      <c r="R195" s="30"/>
      <c r="S195" s="30">
        <f>SUM(T195:AC195)</f>
        <v>0</v>
      </c>
      <c r="T195" s="30"/>
      <c r="U195" s="30"/>
      <c r="V195" s="30"/>
      <c r="W195" s="30"/>
      <c r="X195" s="30"/>
      <c r="Y195" s="30"/>
      <c r="Z195" s="30"/>
      <c r="AA195" s="30"/>
      <c r="AB195" s="30"/>
      <c r="AC195" s="30"/>
    </row>
    <row r="196" spans="1:29" ht="67.5" x14ac:dyDescent="0.2">
      <c r="A196" s="887"/>
      <c r="B196" s="19" t="s">
        <v>344</v>
      </c>
      <c r="C196" s="20"/>
      <c r="D196" s="21" t="s">
        <v>345</v>
      </c>
      <c r="E196" s="22">
        <f>E197</f>
        <v>0</v>
      </c>
      <c r="F196" s="22">
        <f t="shared" si="86"/>
        <v>0</v>
      </c>
      <c r="G196" s="23">
        <v>0</v>
      </c>
      <c r="H196" s="22">
        <f t="shared" si="86"/>
        <v>0</v>
      </c>
      <c r="I196" s="24">
        <f t="shared" si="86"/>
        <v>60919</v>
      </c>
      <c r="J196" s="37">
        <v>0</v>
      </c>
      <c r="K196" s="870">
        <f t="shared" si="76"/>
        <v>60919</v>
      </c>
      <c r="L196" s="38">
        <f t="shared" si="86"/>
        <v>60919</v>
      </c>
      <c r="M196" s="22">
        <f t="shared" si="86"/>
        <v>60919</v>
      </c>
      <c r="N196" s="22">
        <f t="shared" si="86"/>
        <v>0</v>
      </c>
      <c r="O196" s="22">
        <f t="shared" si="86"/>
        <v>0</v>
      </c>
      <c r="P196" s="22">
        <f t="shared" si="86"/>
        <v>0</v>
      </c>
      <c r="Q196" s="22">
        <f t="shared" si="86"/>
        <v>0</v>
      </c>
      <c r="R196" s="22">
        <f t="shared" si="86"/>
        <v>0</v>
      </c>
      <c r="S196" s="22">
        <f t="shared" si="86"/>
        <v>0</v>
      </c>
      <c r="T196" s="22">
        <f t="shared" si="86"/>
        <v>0</v>
      </c>
      <c r="U196" s="22">
        <f t="shared" si="86"/>
        <v>0</v>
      </c>
      <c r="V196" s="22">
        <f t="shared" si="86"/>
        <v>0</v>
      </c>
      <c r="W196" s="22">
        <f t="shared" si="86"/>
        <v>0</v>
      </c>
      <c r="X196" s="22">
        <f t="shared" si="86"/>
        <v>0</v>
      </c>
      <c r="Y196" s="22">
        <f t="shared" si="86"/>
        <v>0</v>
      </c>
      <c r="Z196" s="22">
        <f t="shared" si="86"/>
        <v>0</v>
      </c>
      <c r="AA196" s="22">
        <f t="shared" si="86"/>
        <v>0</v>
      </c>
      <c r="AB196" s="22">
        <f t="shared" si="86"/>
        <v>0</v>
      </c>
      <c r="AC196" s="25">
        <f t="shared" si="86"/>
        <v>0</v>
      </c>
    </row>
    <row r="197" spans="1:29" ht="45" x14ac:dyDescent="0.2">
      <c r="A197" s="889"/>
      <c r="B197" s="26"/>
      <c r="C197" s="27" t="s">
        <v>47</v>
      </c>
      <c r="D197" s="28" t="s">
        <v>48</v>
      </c>
      <c r="E197" s="29">
        <v>0</v>
      </c>
      <c r="F197" s="30">
        <v>0</v>
      </c>
      <c r="G197" s="31">
        <v>0</v>
      </c>
      <c r="H197" s="32">
        <v>0</v>
      </c>
      <c r="I197" s="33">
        <f>K197</f>
        <v>60919</v>
      </c>
      <c r="J197" s="34">
        <v>0</v>
      </c>
      <c r="K197" s="35">
        <f t="shared" si="76"/>
        <v>60919</v>
      </c>
      <c r="L197" s="30">
        <f>SUM(M197:Q197)</f>
        <v>60919</v>
      </c>
      <c r="M197" s="30">
        <v>60919</v>
      </c>
      <c r="N197" s="30"/>
      <c r="O197" s="30"/>
      <c r="P197" s="30"/>
      <c r="Q197" s="30"/>
      <c r="R197" s="30"/>
      <c r="S197" s="30">
        <f>SUM(T197:AC197)</f>
        <v>0</v>
      </c>
      <c r="T197" s="30"/>
      <c r="U197" s="30"/>
      <c r="V197" s="30"/>
      <c r="W197" s="30"/>
      <c r="X197" s="30"/>
      <c r="Y197" s="30"/>
      <c r="Z197" s="30"/>
      <c r="AA197" s="30"/>
      <c r="AB197" s="30"/>
      <c r="AC197" s="30"/>
    </row>
    <row r="198" spans="1:29" x14ac:dyDescent="0.2">
      <c r="A198" s="885" t="s">
        <v>346</v>
      </c>
      <c r="B198" s="13"/>
      <c r="C198" s="13"/>
      <c r="D198" s="14" t="s">
        <v>347</v>
      </c>
      <c r="E198" s="15">
        <f>E199+E204+E206</f>
        <v>2557836.4900000002</v>
      </c>
      <c r="F198" s="15">
        <f t="shared" ref="F198:AC198" si="87">F199+F204+F206</f>
        <v>1727849.7300000002</v>
      </c>
      <c r="G198" s="16">
        <f t="shared" si="75"/>
        <v>0.67551219038242749</v>
      </c>
      <c r="H198" s="15">
        <f t="shared" si="87"/>
        <v>2199841.54</v>
      </c>
      <c r="I198" s="17">
        <f t="shared" si="87"/>
        <v>3313356.07</v>
      </c>
      <c r="J198" s="80">
        <f t="shared" si="78"/>
        <v>1.2953744631268433</v>
      </c>
      <c r="K198" s="878">
        <f t="shared" si="76"/>
        <v>3313356.07</v>
      </c>
      <c r="L198" s="84">
        <f t="shared" si="87"/>
        <v>3313356.07</v>
      </c>
      <c r="M198" s="15">
        <f t="shared" si="87"/>
        <v>0</v>
      </c>
      <c r="N198" s="15">
        <f t="shared" si="87"/>
        <v>3294814.31</v>
      </c>
      <c r="O198" s="15">
        <f t="shared" si="87"/>
        <v>0</v>
      </c>
      <c r="P198" s="15">
        <f t="shared" si="87"/>
        <v>18541.760000000002</v>
      </c>
      <c r="Q198" s="15">
        <f t="shared" si="87"/>
        <v>0</v>
      </c>
      <c r="R198" s="15">
        <f t="shared" si="87"/>
        <v>0</v>
      </c>
      <c r="S198" s="15">
        <f t="shared" si="87"/>
        <v>0</v>
      </c>
      <c r="T198" s="15">
        <f t="shared" si="87"/>
        <v>0</v>
      </c>
      <c r="U198" s="15">
        <f t="shared" si="87"/>
        <v>0</v>
      </c>
      <c r="V198" s="15">
        <f t="shared" si="87"/>
        <v>0</v>
      </c>
      <c r="W198" s="15">
        <f t="shared" si="87"/>
        <v>0</v>
      </c>
      <c r="X198" s="15">
        <f t="shared" si="87"/>
        <v>0</v>
      </c>
      <c r="Y198" s="15">
        <f t="shared" si="87"/>
        <v>0</v>
      </c>
      <c r="Z198" s="15">
        <f t="shared" si="87"/>
        <v>0</v>
      </c>
      <c r="AA198" s="15">
        <f t="shared" si="87"/>
        <v>0</v>
      </c>
      <c r="AB198" s="15">
        <f t="shared" si="87"/>
        <v>0</v>
      </c>
      <c r="AC198" s="18">
        <f t="shared" si="87"/>
        <v>0</v>
      </c>
    </row>
    <row r="199" spans="1:29" ht="15" x14ac:dyDescent="0.2">
      <c r="A199" s="887"/>
      <c r="B199" s="19" t="s">
        <v>348</v>
      </c>
      <c r="C199" s="20"/>
      <c r="D199" s="21" t="s">
        <v>349</v>
      </c>
      <c r="E199" s="22">
        <f>E200+E201+E202+E203</f>
        <v>2463836.4900000002</v>
      </c>
      <c r="F199" s="22">
        <f t="shared" ref="F199:I199" si="88">F200+F201+F202+F203</f>
        <v>1675921.1500000001</v>
      </c>
      <c r="G199" s="23">
        <f t="shared" si="75"/>
        <v>0.68020794269509333</v>
      </c>
      <c r="H199" s="22">
        <f t="shared" si="88"/>
        <v>2147190.2199999997</v>
      </c>
      <c r="I199" s="24">
        <f t="shared" si="88"/>
        <v>3248356.07</v>
      </c>
      <c r="J199" s="37">
        <f t="shared" si="78"/>
        <v>1.3184138164947787</v>
      </c>
      <c r="K199" s="870">
        <f t="shared" si="76"/>
        <v>3248356.07</v>
      </c>
      <c r="L199" s="38">
        <f>L200+L201+L202+L203</f>
        <v>3248356.07</v>
      </c>
      <c r="M199" s="38">
        <f t="shared" ref="M199:AC199" si="89">M200+M201+M202+M203</f>
        <v>0</v>
      </c>
      <c r="N199" s="38">
        <f t="shared" si="89"/>
        <v>3239814.31</v>
      </c>
      <c r="O199" s="38">
        <f t="shared" si="89"/>
        <v>0</v>
      </c>
      <c r="P199" s="38">
        <f t="shared" si="89"/>
        <v>8541.76</v>
      </c>
      <c r="Q199" s="38">
        <f t="shared" si="89"/>
        <v>0</v>
      </c>
      <c r="R199" s="38">
        <f t="shared" si="89"/>
        <v>0</v>
      </c>
      <c r="S199" s="38">
        <f t="shared" si="89"/>
        <v>0</v>
      </c>
      <c r="T199" s="38">
        <f t="shared" si="89"/>
        <v>0</v>
      </c>
      <c r="U199" s="38">
        <f t="shared" si="89"/>
        <v>0</v>
      </c>
      <c r="V199" s="38">
        <f t="shared" si="89"/>
        <v>0</v>
      </c>
      <c r="W199" s="38">
        <f t="shared" si="89"/>
        <v>0</v>
      </c>
      <c r="X199" s="38">
        <f t="shared" si="89"/>
        <v>0</v>
      </c>
      <c r="Y199" s="38">
        <f t="shared" si="89"/>
        <v>0</v>
      </c>
      <c r="Z199" s="38">
        <f t="shared" si="89"/>
        <v>0</v>
      </c>
      <c r="AA199" s="38">
        <f t="shared" si="89"/>
        <v>0</v>
      </c>
      <c r="AB199" s="38">
        <f t="shared" si="89"/>
        <v>0</v>
      </c>
      <c r="AC199" s="38">
        <f t="shared" si="89"/>
        <v>0</v>
      </c>
    </row>
    <row r="200" spans="1:29" ht="33.75" x14ac:dyDescent="0.2">
      <c r="A200" s="889"/>
      <c r="B200" s="26"/>
      <c r="C200" s="27" t="s">
        <v>71</v>
      </c>
      <c r="D200" s="28" t="s">
        <v>72</v>
      </c>
      <c r="E200" s="29" t="s">
        <v>350</v>
      </c>
      <c r="F200" s="30">
        <v>1655027.51</v>
      </c>
      <c r="G200" s="31">
        <f t="shared" si="75"/>
        <v>0.67282013122750284</v>
      </c>
      <c r="H200" s="32">
        <v>2126296.58</v>
      </c>
      <c r="I200" s="33">
        <v>3227814.31</v>
      </c>
      <c r="J200" s="34">
        <f t="shared" si="78"/>
        <v>1.3122068572939984</v>
      </c>
      <c r="K200" s="869">
        <f t="shared" si="76"/>
        <v>3227814.31</v>
      </c>
      <c r="L200" s="30">
        <f>SUM(M200:Q200)</f>
        <v>3227814.31</v>
      </c>
      <c r="M200" s="30"/>
      <c r="N200" s="30">
        <v>3227814.31</v>
      </c>
      <c r="O200" s="30"/>
      <c r="P200" s="30"/>
      <c r="Q200" s="30"/>
      <c r="R200" s="30"/>
      <c r="S200" s="30">
        <f>SUM(T200:AC200)</f>
        <v>0</v>
      </c>
      <c r="T200" s="30"/>
      <c r="U200" s="30"/>
      <c r="V200" s="30"/>
      <c r="W200" s="30"/>
      <c r="X200" s="30"/>
      <c r="Y200" s="30"/>
      <c r="Z200" s="30"/>
      <c r="AA200" s="30"/>
      <c r="AB200" s="30"/>
      <c r="AC200" s="30"/>
    </row>
    <row r="201" spans="1:29" ht="22.5" x14ac:dyDescent="0.2">
      <c r="A201" s="889"/>
      <c r="B201" s="26"/>
      <c r="C201" s="899" t="s">
        <v>75</v>
      </c>
      <c r="D201" s="900" t="s">
        <v>76</v>
      </c>
      <c r="E201" s="901" t="s">
        <v>351</v>
      </c>
      <c r="F201" s="30">
        <v>11073.8</v>
      </c>
      <c r="G201" s="909">
        <f t="shared" si="75"/>
        <v>2.7684499999999996</v>
      </c>
      <c r="H201" s="32">
        <v>11073.8</v>
      </c>
      <c r="I201" s="33">
        <v>12000</v>
      </c>
      <c r="J201" s="34">
        <f t="shared" si="78"/>
        <v>3</v>
      </c>
      <c r="K201" s="35">
        <f t="shared" si="76"/>
        <v>12000</v>
      </c>
      <c r="L201" s="43">
        <f>SUM(M201:Q201)</f>
        <v>12000</v>
      </c>
      <c r="M201" s="43"/>
      <c r="N201" s="43">
        <v>12000</v>
      </c>
      <c r="O201" s="43"/>
      <c r="P201" s="43"/>
      <c r="Q201" s="43"/>
      <c r="R201" s="43"/>
      <c r="S201" s="43">
        <f>SUM(T201:AC201)</f>
        <v>0</v>
      </c>
      <c r="T201" s="43"/>
      <c r="U201" s="43"/>
      <c r="V201" s="43"/>
      <c r="W201" s="43"/>
      <c r="X201" s="43"/>
      <c r="Y201" s="43"/>
      <c r="Z201" s="43"/>
      <c r="AA201" s="43"/>
      <c r="AB201" s="43"/>
      <c r="AC201" s="43"/>
    </row>
    <row r="202" spans="1:29" ht="45" x14ac:dyDescent="0.2">
      <c r="A202" s="889"/>
      <c r="B202" s="82"/>
      <c r="C202" s="961" t="s">
        <v>42</v>
      </c>
      <c r="D202" s="119" t="s">
        <v>43</v>
      </c>
      <c r="E202" s="922">
        <v>0</v>
      </c>
      <c r="F202" s="124">
        <v>489.51</v>
      </c>
      <c r="G202" s="962">
        <v>0</v>
      </c>
      <c r="H202" s="902">
        <v>489.51</v>
      </c>
      <c r="I202" s="123">
        <v>0</v>
      </c>
      <c r="J202" s="963">
        <v>0</v>
      </c>
      <c r="K202" s="35">
        <f t="shared" si="76"/>
        <v>0</v>
      </c>
      <c r="L202" s="43">
        <f t="shared" ref="L202:L203" si="90">SUM(M202:Q202)</f>
        <v>0</v>
      </c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</row>
    <row r="203" spans="1:29" ht="22.5" x14ac:dyDescent="0.2">
      <c r="A203" s="889"/>
      <c r="B203" s="917"/>
      <c r="C203" s="66" t="s">
        <v>77</v>
      </c>
      <c r="D203" s="900" t="s">
        <v>78</v>
      </c>
      <c r="E203" s="68">
        <v>0</v>
      </c>
      <c r="F203" s="30">
        <v>9330.33</v>
      </c>
      <c r="G203" s="909">
        <v>0</v>
      </c>
      <c r="H203" s="32">
        <v>9330.33</v>
      </c>
      <c r="I203" s="33">
        <v>8541.76</v>
      </c>
      <c r="J203" s="34">
        <v>0</v>
      </c>
      <c r="K203" s="35">
        <f t="shared" si="76"/>
        <v>8541.76</v>
      </c>
      <c r="L203" s="43">
        <f t="shared" si="90"/>
        <v>8541.76</v>
      </c>
      <c r="M203" s="30"/>
      <c r="N203" s="30"/>
      <c r="O203" s="30"/>
      <c r="P203" s="30">
        <v>8541.76</v>
      </c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</row>
    <row r="204" spans="1:29" ht="22.5" x14ac:dyDescent="0.2">
      <c r="A204" s="887"/>
      <c r="B204" s="908" t="s">
        <v>352</v>
      </c>
      <c r="C204" s="97"/>
      <c r="D204" s="98" t="s">
        <v>353</v>
      </c>
      <c r="E204" s="86" t="str">
        <f>E205</f>
        <v>84 000,00</v>
      </c>
      <c r="F204" s="86">
        <f t="shared" ref="F204:AC204" si="91">F205</f>
        <v>49715.12</v>
      </c>
      <c r="G204" s="916">
        <f t="shared" si="75"/>
        <v>0.59184666666666674</v>
      </c>
      <c r="H204" s="90">
        <f t="shared" si="91"/>
        <v>49715.12</v>
      </c>
      <c r="I204" s="88">
        <f t="shared" si="91"/>
        <v>55000</v>
      </c>
      <c r="J204" s="89">
        <f t="shared" si="78"/>
        <v>0.65476190476190477</v>
      </c>
      <c r="K204" s="877">
        <f t="shared" si="76"/>
        <v>55000</v>
      </c>
      <c r="L204" s="90">
        <f t="shared" si="91"/>
        <v>55000</v>
      </c>
      <c r="M204" s="86">
        <f t="shared" si="91"/>
        <v>0</v>
      </c>
      <c r="N204" s="86">
        <f t="shared" si="91"/>
        <v>55000</v>
      </c>
      <c r="O204" s="86">
        <f t="shared" si="91"/>
        <v>0</v>
      </c>
      <c r="P204" s="86">
        <f t="shared" si="91"/>
        <v>0</v>
      </c>
      <c r="Q204" s="86">
        <f t="shared" si="91"/>
        <v>0</v>
      </c>
      <c r="R204" s="86">
        <f t="shared" si="91"/>
        <v>0</v>
      </c>
      <c r="S204" s="86">
        <f t="shared" si="91"/>
        <v>0</v>
      </c>
      <c r="T204" s="86">
        <f t="shared" si="91"/>
        <v>0</v>
      </c>
      <c r="U204" s="86">
        <f t="shared" si="91"/>
        <v>0</v>
      </c>
      <c r="V204" s="86">
        <f t="shared" si="91"/>
        <v>0</v>
      </c>
      <c r="W204" s="86">
        <f t="shared" si="91"/>
        <v>0</v>
      </c>
      <c r="X204" s="86">
        <f t="shared" si="91"/>
        <v>0</v>
      </c>
      <c r="Y204" s="86">
        <f t="shared" si="91"/>
        <v>0</v>
      </c>
      <c r="Z204" s="86">
        <f t="shared" si="91"/>
        <v>0</v>
      </c>
      <c r="AA204" s="86">
        <f t="shared" si="91"/>
        <v>0</v>
      </c>
      <c r="AB204" s="86">
        <f t="shared" si="91"/>
        <v>0</v>
      </c>
      <c r="AC204" s="99">
        <f t="shared" si="91"/>
        <v>0</v>
      </c>
    </row>
    <row r="205" spans="1:29" x14ac:dyDescent="0.2">
      <c r="A205" s="889"/>
      <c r="B205" s="26"/>
      <c r="C205" s="27" t="s">
        <v>59</v>
      </c>
      <c r="D205" s="28" t="s">
        <v>60</v>
      </c>
      <c r="E205" s="29" t="s">
        <v>235</v>
      </c>
      <c r="F205" s="30">
        <v>49715.12</v>
      </c>
      <c r="G205" s="96">
        <f t="shared" si="75"/>
        <v>0.59184666666666674</v>
      </c>
      <c r="H205" s="32">
        <v>49715.12</v>
      </c>
      <c r="I205" s="33">
        <v>55000</v>
      </c>
      <c r="J205" s="34">
        <f t="shared" si="78"/>
        <v>0.65476190476190477</v>
      </c>
      <c r="K205" s="35">
        <f t="shared" si="76"/>
        <v>55000</v>
      </c>
      <c r="L205" s="30">
        <f>SUM(M205:Q205)</f>
        <v>55000</v>
      </c>
      <c r="M205" s="30"/>
      <c r="N205" s="30">
        <v>55000</v>
      </c>
      <c r="O205" s="30"/>
      <c r="P205" s="30"/>
      <c r="Q205" s="30"/>
      <c r="R205" s="30"/>
      <c r="S205" s="30">
        <f>SUM(T205:AC205)</f>
        <v>0</v>
      </c>
      <c r="T205" s="30"/>
      <c r="U205" s="30"/>
      <c r="V205" s="30"/>
      <c r="W205" s="30"/>
      <c r="X205" s="30"/>
      <c r="Y205" s="30"/>
      <c r="Z205" s="30"/>
      <c r="AA205" s="30"/>
      <c r="AB205" s="30"/>
      <c r="AC205" s="30"/>
    </row>
    <row r="206" spans="1:29" ht="15" x14ac:dyDescent="0.2">
      <c r="A206" s="887"/>
      <c r="B206" s="19" t="s">
        <v>354</v>
      </c>
      <c r="C206" s="20"/>
      <c r="D206" s="21" t="s">
        <v>41</v>
      </c>
      <c r="E206" s="22">
        <f>E207+E208</f>
        <v>10000</v>
      </c>
      <c r="F206" s="22">
        <f>F207+F208</f>
        <v>2213.46</v>
      </c>
      <c r="G206" s="23">
        <f t="shared" si="75"/>
        <v>0.22134600000000001</v>
      </c>
      <c r="H206" s="22">
        <f>H207+H208</f>
        <v>2936.2</v>
      </c>
      <c r="I206" s="24">
        <f>I207+I208</f>
        <v>10000</v>
      </c>
      <c r="J206" s="37">
        <f t="shared" si="78"/>
        <v>1</v>
      </c>
      <c r="K206" s="870">
        <f t="shared" si="76"/>
        <v>10000</v>
      </c>
      <c r="L206" s="38">
        <f>L207+L208</f>
        <v>10000</v>
      </c>
      <c r="M206" s="38">
        <f t="shared" ref="M206:AC206" si="92">M207+M208</f>
        <v>0</v>
      </c>
      <c r="N206" s="38">
        <f t="shared" si="92"/>
        <v>0</v>
      </c>
      <c r="O206" s="38">
        <f t="shared" si="92"/>
        <v>0</v>
      </c>
      <c r="P206" s="38">
        <f t="shared" si="92"/>
        <v>10000</v>
      </c>
      <c r="Q206" s="38">
        <f t="shared" si="92"/>
        <v>0</v>
      </c>
      <c r="R206" s="38">
        <f t="shared" si="92"/>
        <v>0</v>
      </c>
      <c r="S206" s="38">
        <f t="shared" si="92"/>
        <v>0</v>
      </c>
      <c r="T206" s="38">
        <f t="shared" si="92"/>
        <v>0</v>
      </c>
      <c r="U206" s="38">
        <f t="shared" si="92"/>
        <v>0</v>
      </c>
      <c r="V206" s="38">
        <f t="shared" si="92"/>
        <v>0</v>
      </c>
      <c r="W206" s="38">
        <f t="shared" si="92"/>
        <v>0</v>
      </c>
      <c r="X206" s="38">
        <f t="shared" si="92"/>
        <v>0</v>
      </c>
      <c r="Y206" s="38">
        <f t="shared" si="92"/>
        <v>0</v>
      </c>
      <c r="Z206" s="38">
        <f t="shared" si="92"/>
        <v>0</v>
      </c>
      <c r="AA206" s="38">
        <f t="shared" si="92"/>
        <v>0</v>
      </c>
      <c r="AB206" s="38">
        <f t="shared" si="92"/>
        <v>0</v>
      </c>
      <c r="AC206" s="38">
        <f t="shared" si="92"/>
        <v>0</v>
      </c>
    </row>
    <row r="207" spans="1:29" x14ac:dyDescent="0.2">
      <c r="A207" s="889"/>
      <c r="B207" s="26"/>
      <c r="C207" s="40" t="s">
        <v>99</v>
      </c>
      <c r="D207" s="41" t="s">
        <v>100</v>
      </c>
      <c r="E207" s="42" t="s">
        <v>68</v>
      </c>
      <c r="F207" s="43">
        <v>2188.23</v>
      </c>
      <c r="G207" s="44">
        <f t="shared" si="75"/>
        <v>0.21882299999999999</v>
      </c>
      <c r="H207" s="45">
        <v>2910.97</v>
      </c>
      <c r="I207" s="46">
        <v>10000</v>
      </c>
      <c r="J207" s="47">
        <f t="shared" si="78"/>
        <v>1</v>
      </c>
      <c r="K207" s="35">
        <f t="shared" si="76"/>
        <v>10000</v>
      </c>
      <c r="L207" s="43">
        <f>SUM(M207:Q207)</f>
        <v>10000</v>
      </c>
      <c r="M207" s="43"/>
      <c r="N207" s="43"/>
      <c r="O207" s="43"/>
      <c r="P207" s="43">
        <v>10000</v>
      </c>
      <c r="Q207" s="43"/>
      <c r="R207" s="43"/>
      <c r="S207" s="43">
        <f>SUM(T207:AC207)</f>
        <v>0</v>
      </c>
      <c r="T207" s="43"/>
      <c r="U207" s="43"/>
      <c r="V207" s="43"/>
      <c r="W207" s="43"/>
      <c r="X207" s="43"/>
      <c r="Y207" s="43"/>
      <c r="Z207" s="43"/>
      <c r="AA207" s="43"/>
      <c r="AB207" s="43"/>
      <c r="AC207" s="43"/>
    </row>
    <row r="208" spans="1:29" x14ac:dyDescent="0.2">
      <c r="A208" s="889"/>
      <c r="B208" s="82"/>
      <c r="C208" s="66" t="s">
        <v>45</v>
      </c>
      <c r="D208" s="67" t="s">
        <v>46</v>
      </c>
      <c r="E208" s="68">
        <v>0</v>
      </c>
      <c r="F208" s="30">
        <v>25.23</v>
      </c>
      <c r="G208" s="44">
        <v>0</v>
      </c>
      <c r="H208" s="32">
        <v>25.23</v>
      </c>
      <c r="I208" s="33">
        <v>0</v>
      </c>
      <c r="J208" s="34">
        <v>0</v>
      </c>
      <c r="K208" s="35">
        <f t="shared" si="76"/>
        <v>0</v>
      </c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</row>
    <row r="209" spans="1:29" x14ac:dyDescent="0.2">
      <c r="A209" s="885" t="s">
        <v>355</v>
      </c>
      <c r="B209" s="13"/>
      <c r="C209" s="71"/>
      <c r="D209" s="72" t="s">
        <v>356</v>
      </c>
      <c r="E209" s="73">
        <f>E210</f>
        <v>25000</v>
      </c>
      <c r="F209" s="73">
        <f t="shared" ref="F209:AC209" si="93">F210</f>
        <v>22935.219999999998</v>
      </c>
      <c r="G209" s="52">
        <f t="shared" si="75"/>
        <v>0.91740879999999991</v>
      </c>
      <c r="H209" s="77">
        <f t="shared" si="93"/>
        <v>25927.01</v>
      </c>
      <c r="I209" s="75">
        <f t="shared" si="93"/>
        <v>25000</v>
      </c>
      <c r="J209" s="76">
        <f t="shared" si="78"/>
        <v>1</v>
      </c>
      <c r="K209" s="873">
        <f t="shared" si="76"/>
        <v>25000</v>
      </c>
      <c r="L209" s="77">
        <f t="shared" si="93"/>
        <v>25000</v>
      </c>
      <c r="M209" s="73">
        <f t="shared" si="93"/>
        <v>0</v>
      </c>
      <c r="N209" s="73">
        <f t="shared" si="93"/>
        <v>0</v>
      </c>
      <c r="O209" s="73">
        <f t="shared" si="93"/>
        <v>0</v>
      </c>
      <c r="P209" s="73">
        <f t="shared" si="93"/>
        <v>25000</v>
      </c>
      <c r="Q209" s="73">
        <f t="shared" si="93"/>
        <v>0</v>
      </c>
      <c r="R209" s="73">
        <f t="shared" si="93"/>
        <v>0</v>
      </c>
      <c r="S209" s="73">
        <f t="shared" si="93"/>
        <v>0</v>
      </c>
      <c r="T209" s="73">
        <f t="shared" si="93"/>
        <v>0</v>
      </c>
      <c r="U209" s="73">
        <f t="shared" si="93"/>
        <v>0</v>
      </c>
      <c r="V209" s="73">
        <f t="shared" si="93"/>
        <v>0</v>
      </c>
      <c r="W209" s="73">
        <f t="shared" si="93"/>
        <v>0</v>
      </c>
      <c r="X209" s="73">
        <f t="shared" si="93"/>
        <v>0</v>
      </c>
      <c r="Y209" s="73">
        <f t="shared" si="93"/>
        <v>0</v>
      </c>
      <c r="Z209" s="73">
        <f t="shared" si="93"/>
        <v>0</v>
      </c>
      <c r="AA209" s="73">
        <f t="shared" si="93"/>
        <v>0</v>
      </c>
      <c r="AB209" s="73">
        <f t="shared" si="93"/>
        <v>0</v>
      </c>
      <c r="AC209" s="78">
        <f t="shared" si="93"/>
        <v>0</v>
      </c>
    </row>
    <row r="210" spans="1:29" ht="15" x14ac:dyDescent="0.2">
      <c r="A210" s="887"/>
      <c r="B210" s="19" t="s">
        <v>357</v>
      </c>
      <c r="C210" s="20"/>
      <c r="D210" s="21" t="s">
        <v>358</v>
      </c>
      <c r="E210" s="102">
        <f>E212+E211+E213</f>
        <v>25000</v>
      </c>
      <c r="F210" s="102">
        <f>F212+F211+F213</f>
        <v>22935.219999999998</v>
      </c>
      <c r="G210" s="162">
        <f t="shared" si="75"/>
        <v>0.91740879999999991</v>
      </c>
      <c r="H210" s="102">
        <f>H212+H211+H213</f>
        <v>25927.01</v>
      </c>
      <c r="I210" s="104">
        <f>I212+I211+I213</f>
        <v>25000</v>
      </c>
      <c r="J210" s="105">
        <f t="shared" si="78"/>
        <v>1</v>
      </c>
      <c r="K210" s="880">
        <f t="shared" si="76"/>
        <v>25000</v>
      </c>
      <c r="L210" s="106">
        <f>L212+L211+L213</f>
        <v>25000</v>
      </c>
      <c r="M210" s="106">
        <f t="shared" ref="M210:AC210" si="94">M212+M211+M213</f>
        <v>0</v>
      </c>
      <c r="N210" s="106">
        <f t="shared" si="94"/>
        <v>0</v>
      </c>
      <c r="O210" s="106">
        <f t="shared" si="94"/>
        <v>0</v>
      </c>
      <c r="P210" s="106">
        <f t="shared" si="94"/>
        <v>25000</v>
      </c>
      <c r="Q210" s="106">
        <f t="shared" si="94"/>
        <v>0</v>
      </c>
      <c r="R210" s="106">
        <f t="shared" si="94"/>
        <v>0</v>
      </c>
      <c r="S210" s="106">
        <f t="shared" si="94"/>
        <v>0</v>
      </c>
      <c r="T210" s="106">
        <f t="shared" si="94"/>
        <v>0</v>
      </c>
      <c r="U210" s="106">
        <f t="shared" si="94"/>
        <v>0</v>
      </c>
      <c r="V210" s="106">
        <f t="shared" si="94"/>
        <v>0</v>
      </c>
      <c r="W210" s="106">
        <f t="shared" si="94"/>
        <v>0</v>
      </c>
      <c r="X210" s="106">
        <f t="shared" si="94"/>
        <v>0</v>
      </c>
      <c r="Y210" s="106">
        <f t="shared" si="94"/>
        <v>0</v>
      </c>
      <c r="Z210" s="106">
        <f t="shared" si="94"/>
        <v>0</v>
      </c>
      <c r="AA210" s="106">
        <f t="shared" si="94"/>
        <v>0</v>
      </c>
      <c r="AB210" s="106">
        <f t="shared" si="94"/>
        <v>0</v>
      </c>
      <c r="AC210" s="106">
        <f t="shared" si="94"/>
        <v>0</v>
      </c>
    </row>
    <row r="211" spans="1:29" s="136" customFormat="1" ht="22.5" x14ac:dyDescent="0.2">
      <c r="A211" s="893"/>
      <c r="B211" s="133"/>
      <c r="C211" s="155" t="s">
        <v>73</v>
      </c>
      <c r="D211" s="163" t="s">
        <v>74</v>
      </c>
      <c r="E211" s="111">
        <v>0</v>
      </c>
      <c r="F211" s="112">
        <v>0</v>
      </c>
      <c r="G211" s="69">
        <v>0</v>
      </c>
      <c r="H211" s="157">
        <v>0</v>
      </c>
      <c r="I211" s="115">
        <v>0</v>
      </c>
      <c r="J211" s="116">
        <v>0</v>
      </c>
      <c r="K211" s="881"/>
      <c r="L211" s="111"/>
      <c r="M211" s="111"/>
      <c r="N211" s="111"/>
      <c r="O211" s="111"/>
      <c r="P211" s="111"/>
      <c r="Q211" s="111"/>
      <c r="R211" s="111"/>
      <c r="S211" s="111"/>
      <c r="T211" s="111"/>
      <c r="U211" s="111"/>
      <c r="V211" s="111"/>
      <c r="W211" s="111"/>
      <c r="X211" s="111"/>
      <c r="Y211" s="111"/>
      <c r="Z211" s="111"/>
      <c r="AA211" s="111"/>
      <c r="AB211" s="111"/>
      <c r="AC211" s="111"/>
    </row>
    <row r="212" spans="1:29" x14ac:dyDescent="0.2">
      <c r="A212" s="889"/>
      <c r="B212" s="26"/>
      <c r="C212" s="27" t="s">
        <v>99</v>
      </c>
      <c r="D212" s="85" t="s">
        <v>100</v>
      </c>
      <c r="E212" s="68" t="s">
        <v>61</v>
      </c>
      <c r="F212" s="125">
        <v>22935.17</v>
      </c>
      <c r="G212" s="69">
        <f t="shared" si="75"/>
        <v>0.91740679999999997</v>
      </c>
      <c r="H212" s="32">
        <v>25926.959999999999</v>
      </c>
      <c r="I212" s="33">
        <v>25000</v>
      </c>
      <c r="J212" s="34">
        <f t="shared" si="78"/>
        <v>1</v>
      </c>
      <c r="K212" s="869">
        <f t="shared" si="76"/>
        <v>25000</v>
      </c>
      <c r="L212" s="30">
        <f>SUM(M212:Q212)</f>
        <v>25000</v>
      </c>
      <c r="M212" s="30"/>
      <c r="N212" s="30"/>
      <c r="O212" s="30"/>
      <c r="P212" s="30">
        <v>25000</v>
      </c>
      <c r="Q212" s="30"/>
      <c r="R212" s="30"/>
      <c r="S212" s="30">
        <f>SUM(T212:AC212)</f>
        <v>0</v>
      </c>
      <c r="T212" s="30"/>
      <c r="U212" s="30"/>
      <c r="V212" s="30"/>
      <c r="W212" s="30"/>
      <c r="X212" s="30"/>
      <c r="Y212" s="30"/>
      <c r="Z212" s="30"/>
      <c r="AA212" s="30"/>
      <c r="AB212" s="30"/>
      <c r="AC212" s="30"/>
    </row>
    <row r="213" spans="1:29" x14ac:dyDescent="0.2">
      <c r="A213" s="889"/>
      <c r="B213" s="26"/>
      <c r="C213" s="39" t="s">
        <v>45</v>
      </c>
      <c r="D213" s="164" t="s">
        <v>46</v>
      </c>
      <c r="E213" s="68">
        <v>0</v>
      </c>
      <c r="F213" s="125">
        <v>0.05</v>
      </c>
      <c r="G213" s="69">
        <v>0</v>
      </c>
      <c r="H213" s="32">
        <v>0.05</v>
      </c>
      <c r="I213" s="33">
        <v>0</v>
      </c>
      <c r="J213" s="34">
        <v>0</v>
      </c>
      <c r="K213" s="869">
        <f t="shared" si="76"/>
        <v>0</v>
      </c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</row>
    <row r="214" spans="1:29" x14ac:dyDescent="0.2">
      <c r="A214" s="885" t="s">
        <v>359</v>
      </c>
      <c r="B214" s="13"/>
      <c r="C214" s="13"/>
      <c r="D214" s="14" t="s">
        <v>360</v>
      </c>
      <c r="E214" s="73">
        <f>E215+E220</f>
        <v>271693</v>
      </c>
      <c r="F214" s="73">
        <f>F215+F220</f>
        <v>7533.5599999999995</v>
      </c>
      <c r="G214" s="74">
        <f t="shared" si="75"/>
        <v>2.772820794057999E-2</v>
      </c>
      <c r="H214" s="73">
        <f>H215+H220</f>
        <v>279226.56</v>
      </c>
      <c r="I214" s="75">
        <f>I215+I220</f>
        <v>350000</v>
      </c>
      <c r="J214" s="76">
        <f t="shared" si="78"/>
        <v>1.2882186880044757</v>
      </c>
      <c r="K214" s="875">
        <f t="shared" si="76"/>
        <v>350000</v>
      </c>
      <c r="L214" s="77">
        <f>L215+L220</f>
        <v>350000</v>
      </c>
      <c r="M214" s="77">
        <f t="shared" ref="M214:AC214" si="95">M215+M220</f>
        <v>350000</v>
      </c>
      <c r="N214" s="77">
        <f t="shared" si="95"/>
        <v>0</v>
      </c>
      <c r="O214" s="77">
        <f t="shared" si="95"/>
        <v>0</v>
      </c>
      <c r="P214" s="77">
        <f t="shared" si="95"/>
        <v>0</v>
      </c>
      <c r="Q214" s="77">
        <f t="shared" si="95"/>
        <v>0</v>
      </c>
      <c r="R214" s="77">
        <f t="shared" si="95"/>
        <v>0</v>
      </c>
      <c r="S214" s="77">
        <f t="shared" si="95"/>
        <v>0</v>
      </c>
      <c r="T214" s="77">
        <f t="shared" si="95"/>
        <v>0</v>
      </c>
      <c r="U214" s="77">
        <f t="shared" si="95"/>
        <v>0</v>
      </c>
      <c r="V214" s="77">
        <f t="shared" si="95"/>
        <v>0</v>
      </c>
      <c r="W214" s="77">
        <f t="shared" si="95"/>
        <v>0</v>
      </c>
      <c r="X214" s="77">
        <f t="shared" si="95"/>
        <v>0</v>
      </c>
      <c r="Y214" s="77">
        <f t="shared" si="95"/>
        <v>0</v>
      </c>
      <c r="Z214" s="77">
        <f t="shared" si="95"/>
        <v>0</v>
      </c>
      <c r="AA214" s="77">
        <f t="shared" si="95"/>
        <v>0</v>
      </c>
      <c r="AB214" s="77">
        <f t="shared" si="95"/>
        <v>0</v>
      </c>
      <c r="AC214" s="77">
        <f t="shared" si="95"/>
        <v>0</v>
      </c>
    </row>
    <row r="215" spans="1:29" ht="15" x14ac:dyDescent="0.2">
      <c r="A215" s="887"/>
      <c r="B215" s="19" t="s">
        <v>361</v>
      </c>
      <c r="C215" s="20"/>
      <c r="D215" s="21" t="s">
        <v>362</v>
      </c>
      <c r="E215" s="22">
        <f>E216+E217+E219+E218</f>
        <v>271693</v>
      </c>
      <c r="F215" s="22">
        <f>F216+F217+F219+F218</f>
        <v>0</v>
      </c>
      <c r="G215" s="23">
        <f t="shared" si="75"/>
        <v>0</v>
      </c>
      <c r="H215" s="22">
        <f>H216+H217+H219+H218</f>
        <v>271693</v>
      </c>
      <c r="I215" s="24">
        <f>I216+I217+I219+I218</f>
        <v>350000</v>
      </c>
      <c r="J215" s="37">
        <f t="shared" si="78"/>
        <v>1.2882186880044757</v>
      </c>
      <c r="K215" s="870">
        <f t="shared" si="76"/>
        <v>350000</v>
      </c>
      <c r="L215" s="38">
        <f>L216+L217+L219+L218</f>
        <v>350000</v>
      </c>
      <c r="M215" s="38">
        <f t="shared" ref="M215:AC215" si="96">M216+M217+M219+M218</f>
        <v>350000</v>
      </c>
      <c r="N215" s="38">
        <f t="shared" si="96"/>
        <v>0</v>
      </c>
      <c r="O215" s="38">
        <f t="shared" si="96"/>
        <v>0</v>
      </c>
      <c r="P215" s="38">
        <f t="shared" si="96"/>
        <v>0</v>
      </c>
      <c r="Q215" s="38">
        <f t="shared" si="96"/>
        <v>0</v>
      </c>
      <c r="R215" s="38">
        <f t="shared" si="96"/>
        <v>0</v>
      </c>
      <c r="S215" s="38">
        <f t="shared" si="96"/>
        <v>0</v>
      </c>
      <c r="T215" s="38">
        <f t="shared" si="96"/>
        <v>0</v>
      </c>
      <c r="U215" s="38">
        <f t="shared" si="96"/>
        <v>0</v>
      </c>
      <c r="V215" s="38">
        <f t="shared" si="96"/>
        <v>0</v>
      </c>
      <c r="W215" s="38">
        <f t="shared" si="96"/>
        <v>0</v>
      </c>
      <c r="X215" s="38">
        <f t="shared" si="96"/>
        <v>0</v>
      </c>
      <c r="Y215" s="38">
        <f t="shared" si="96"/>
        <v>0</v>
      </c>
      <c r="Z215" s="38">
        <f t="shared" si="96"/>
        <v>0</v>
      </c>
      <c r="AA215" s="38">
        <f t="shared" si="96"/>
        <v>0</v>
      </c>
      <c r="AB215" s="38">
        <f t="shared" si="96"/>
        <v>0</v>
      </c>
      <c r="AC215" s="38">
        <f t="shared" si="96"/>
        <v>0</v>
      </c>
    </row>
    <row r="216" spans="1:29" ht="33.75" x14ac:dyDescent="0.2">
      <c r="A216" s="889"/>
      <c r="B216" s="26"/>
      <c r="C216" s="27" t="s">
        <v>34</v>
      </c>
      <c r="D216" s="28" t="s">
        <v>35</v>
      </c>
      <c r="E216" s="29" t="s">
        <v>363</v>
      </c>
      <c r="F216" s="30">
        <v>0</v>
      </c>
      <c r="G216" s="31">
        <f t="shared" si="75"/>
        <v>0</v>
      </c>
      <c r="H216" s="32">
        <v>49900</v>
      </c>
      <c r="I216" s="33">
        <v>0</v>
      </c>
      <c r="J216" s="34">
        <f t="shared" si="78"/>
        <v>0</v>
      </c>
      <c r="K216" s="35">
        <f t="shared" si="76"/>
        <v>0</v>
      </c>
      <c r="L216" s="30">
        <f>SUM(M216:Q216)</f>
        <v>0</v>
      </c>
      <c r="M216" s="30"/>
      <c r="N216" s="30"/>
      <c r="O216" s="30"/>
      <c r="P216" s="30"/>
      <c r="Q216" s="30"/>
      <c r="R216" s="30"/>
      <c r="S216" s="30">
        <f>SUM(T216:AC216)</f>
        <v>0</v>
      </c>
      <c r="T216" s="30"/>
      <c r="U216" s="30"/>
      <c r="V216" s="30"/>
      <c r="W216" s="30"/>
      <c r="X216" s="30"/>
      <c r="Y216" s="30"/>
      <c r="Z216" s="30"/>
      <c r="AA216" s="30"/>
      <c r="AB216" s="30"/>
      <c r="AC216" s="30"/>
    </row>
    <row r="217" spans="1:29" ht="56.25" x14ac:dyDescent="0.2">
      <c r="A217" s="889"/>
      <c r="B217" s="26"/>
      <c r="C217" s="27" t="s">
        <v>364</v>
      </c>
      <c r="D217" s="28" t="s">
        <v>365</v>
      </c>
      <c r="E217" s="29" t="s">
        <v>366</v>
      </c>
      <c r="F217" s="30">
        <v>0</v>
      </c>
      <c r="G217" s="31">
        <f t="shared" si="75"/>
        <v>0</v>
      </c>
      <c r="H217" s="32">
        <v>171793</v>
      </c>
      <c r="I217" s="33">
        <v>255000</v>
      </c>
      <c r="J217" s="34">
        <f t="shared" si="78"/>
        <v>1.4843445309180234</v>
      </c>
      <c r="K217" s="869">
        <f t="shared" si="76"/>
        <v>255000</v>
      </c>
      <c r="L217" s="30">
        <f>SUM(M217:Q217)</f>
        <v>255000</v>
      </c>
      <c r="M217" s="30">
        <v>255000</v>
      </c>
      <c r="N217" s="30"/>
      <c r="O217" s="30"/>
      <c r="P217" s="30"/>
      <c r="Q217" s="30"/>
      <c r="R217" s="30"/>
      <c r="S217" s="30">
        <f>SUM(T217:AC217)</f>
        <v>0</v>
      </c>
      <c r="T217" s="30"/>
      <c r="U217" s="30"/>
      <c r="V217" s="30"/>
      <c r="W217" s="30"/>
      <c r="X217" s="30"/>
      <c r="Y217" s="30"/>
      <c r="Z217" s="30"/>
      <c r="AA217" s="30"/>
      <c r="AB217" s="30"/>
      <c r="AC217" s="30"/>
    </row>
    <row r="218" spans="1:29" ht="56.25" x14ac:dyDescent="0.2">
      <c r="A218" s="889"/>
      <c r="B218" s="26"/>
      <c r="C218" s="27" t="s">
        <v>367</v>
      </c>
      <c r="D218" s="28" t="s">
        <v>365</v>
      </c>
      <c r="E218" s="29">
        <v>0</v>
      </c>
      <c r="F218" s="43">
        <v>0</v>
      </c>
      <c r="G218" s="44">
        <v>0</v>
      </c>
      <c r="H218" s="45">
        <v>0</v>
      </c>
      <c r="I218" s="46">
        <v>45000</v>
      </c>
      <c r="J218" s="47">
        <v>0</v>
      </c>
      <c r="K218" s="869">
        <f t="shared" si="76"/>
        <v>45000</v>
      </c>
      <c r="L218" s="30">
        <f>SUM(M218:Q218)</f>
        <v>45000</v>
      </c>
      <c r="M218" s="43">
        <v>45000</v>
      </c>
      <c r="N218" s="43"/>
      <c r="O218" s="43"/>
      <c r="P218" s="43"/>
      <c r="Q218" s="43"/>
      <c r="R218" s="43"/>
      <c r="S218" s="30"/>
      <c r="T218" s="43"/>
      <c r="U218" s="43"/>
      <c r="V218" s="43"/>
      <c r="W218" s="43"/>
      <c r="X218" s="43"/>
      <c r="Y218" s="43"/>
      <c r="Z218" s="43"/>
      <c r="AA218" s="43"/>
      <c r="AB218" s="43"/>
      <c r="AC218" s="30"/>
    </row>
    <row r="219" spans="1:29" ht="33.75" x14ac:dyDescent="0.2">
      <c r="A219" s="889"/>
      <c r="B219" s="898"/>
      <c r="C219" s="899" t="s">
        <v>236</v>
      </c>
      <c r="D219" s="900" t="s">
        <v>237</v>
      </c>
      <c r="E219" s="901" t="s">
        <v>44</v>
      </c>
      <c r="F219" s="30">
        <v>0</v>
      </c>
      <c r="G219" s="909">
        <f t="shared" si="75"/>
        <v>0</v>
      </c>
      <c r="H219" s="166">
        <v>50000</v>
      </c>
      <c r="I219" s="33">
        <f>K219</f>
        <v>50000</v>
      </c>
      <c r="J219" s="34">
        <f t="shared" si="78"/>
        <v>1</v>
      </c>
      <c r="K219" s="35">
        <f t="shared" si="76"/>
        <v>50000</v>
      </c>
      <c r="L219" s="43">
        <f>SUM(M219:Q219)</f>
        <v>50000</v>
      </c>
      <c r="M219" s="43">
        <v>50000</v>
      </c>
      <c r="N219" s="43"/>
      <c r="O219" s="43"/>
      <c r="P219" s="43"/>
      <c r="Q219" s="43"/>
      <c r="R219" s="43"/>
      <c r="S219" s="43">
        <f>SUM(T219:AC219)</f>
        <v>0</v>
      </c>
      <c r="T219" s="43"/>
      <c r="U219" s="43"/>
      <c r="V219" s="43"/>
      <c r="W219" s="43"/>
      <c r="X219" s="43"/>
      <c r="Y219" s="43"/>
      <c r="Z219" s="43"/>
      <c r="AA219" s="43"/>
      <c r="AB219" s="43"/>
      <c r="AC219" s="43"/>
    </row>
    <row r="220" spans="1:29" x14ac:dyDescent="0.2">
      <c r="A220" s="891"/>
      <c r="B220" s="964" t="s">
        <v>368</v>
      </c>
      <c r="C220" s="964"/>
      <c r="D220" s="965" t="s">
        <v>41</v>
      </c>
      <c r="E220" s="966">
        <f>E221+E222</f>
        <v>0</v>
      </c>
      <c r="F220" s="966">
        <f>F221+F222</f>
        <v>7533.5599999999995</v>
      </c>
      <c r="G220" s="967">
        <v>0</v>
      </c>
      <c r="H220" s="968">
        <f>H221+H222</f>
        <v>7533.5599999999995</v>
      </c>
      <c r="I220" s="969">
        <f>I221+I222</f>
        <v>0</v>
      </c>
      <c r="J220" s="970">
        <v>0</v>
      </c>
      <c r="K220" s="874">
        <f>K221+K222</f>
        <v>0</v>
      </c>
      <c r="L220" s="79">
        <f t="shared" ref="L220:AC220" si="97">L221+L222</f>
        <v>0</v>
      </c>
      <c r="M220" s="79">
        <f t="shared" si="97"/>
        <v>0</v>
      </c>
      <c r="N220" s="79">
        <f t="shared" si="97"/>
        <v>0</v>
      </c>
      <c r="O220" s="79">
        <f t="shared" si="97"/>
        <v>0</v>
      </c>
      <c r="P220" s="79">
        <f t="shared" si="97"/>
        <v>0</v>
      </c>
      <c r="Q220" s="79">
        <f t="shared" si="97"/>
        <v>0</v>
      </c>
      <c r="R220" s="79">
        <f t="shared" si="97"/>
        <v>0</v>
      </c>
      <c r="S220" s="79">
        <f t="shared" si="97"/>
        <v>0</v>
      </c>
      <c r="T220" s="79">
        <f t="shared" si="97"/>
        <v>0</v>
      </c>
      <c r="U220" s="79">
        <f t="shared" si="97"/>
        <v>0</v>
      </c>
      <c r="V220" s="79">
        <f t="shared" si="97"/>
        <v>0</v>
      </c>
      <c r="W220" s="79">
        <f t="shared" si="97"/>
        <v>0</v>
      </c>
      <c r="X220" s="79">
        <f t="shared" si="97"/>
        <v>0</v>
      </c>
      <c r="Y220" s="79">
        <f t="shared" si="97"/>
        <v>0</v>
      </c>
      <c r="Z220" s="79">
        <f t="shared" si="97"/>
        <v>0</v>
      </c>
      <c r="AA220" s="79">
        <f t="shared" si="97"/>
        <v>0</v>
      </c>
      <c r="AB220" s="79">
        <f t="shared" si="97"/>
        <v>0</v>
      </c>
      <c r="AC220" s="79">
        <f t="shared" si="97"/>
        <v>0</v>
      </c>
    </row>
    <row r="221" spans="1:29" x14ac:dyDescent="0.2">
      <c r="A221" s="891"/>
      <c r="B221" s="57"/>
      <c r="C221" s="66" t="s">
        <v>114</v>
      </c>
      <c r="D221" s="67" t="s">
        <v>115</v>
      </c>
      <c r="E221" s="68">
        <v>0</v>
      </c>
      <c r="F221" s="30">
        <v>7373.98</v>
      </c>
      <c r="G221" s="44">
        <v>0</v>
      </c>
      <c r="H221" s="165">
        <v>7373.98</v>
      </c>
      <c r="I221" s="46">
        <v>0</v>
      </c>
      <c r="J221" s="47">
        <v>0</v>
      </c>
      <c r="K221" s="879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30"/>
    </row>
    <row r="222" spans="1:29" ht="56.25" x14ac:dyDescent="0.2">
      <c r="A222" s="891"/>
      <c r="B222" s="65"/>
      <c r="C222" s="93" t="s">
        <v>277</v>
      </c>
      <c r="D222" s="28" t="s">
        <v>278</v>
      </c>
      <c r="E222" s="68">
        <v>0</v>
      </c>
      <c r="F222" s="30">
        <v>159.58000000000001</v>
      </c>
      <c r="G222" s="69">
        <v>0</v>
      </c>
      <c r="H222" s="166">
        <v>159.58000000000001</v>
      </c>
      <c r="I222" s="33">
        <v>0</v>
      </c>
      <c r="J222" s="34">
        <v>0</v>
      </c>
      <c r="K222" s="869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30"/>
    </row>
    <row r="223" spans="1:29" ht="21" customHeight="1" x14ac:dyDescent="0.2">
      <c r="A223" s="978" t="s">
        <v>369</v>
      </c>
      <c r="B223" s="979"/>
      <c r="C223" s="979"/>
      <c r="D223" s="980"/>
      <c r="E223" s="167">
        <f>E214+E209+E198+E178+E175+E171+E145+E113+E94+E61+E57+E52+E40+E27+E19+E16+E5+E13+E142</f>
        <v>77492216.799999997</v>
      </c>
      <c r="F223" s="167">
        <f>F214+F209+F198+F178+F175+F171+F145+F113+F94+F61+F57+F52+F40+F27+F19+F16+F5+F13+F142</f>
        <v>60747312.719999999</v>
      </c>
      <c r="G223" s="168">
        <f>F223/E223</f>
        <v>0.78391502048241835</v>
      </c>
      <c r="H223" s="169">
        <f>H214+H209+H198+H178+H175+H171+H145+H113+H94+H61+H57+H52+H40+H27+H19+H16+H5+H13+H142</f>
        <v>76260343.910000011</v>
      </c>
      <c r="I223" s="170">
        <f>I214+I209+I198+I178+I175+I171+I145+I113+I94+I61+I57+I52+I40+I27+I19+I16+I5+I13+I142</f>
        <v>75383419.670000002</v>
      </c>
      <c r="J223" s="171">
        <f>I223/E223</f>
        <v>0.97278698149205622</v>
      </c>
      <c r="K223" s="883">
        <f t="shared" ref="K223:AC223" si="98">K214+K209+K198+K178+K175+K171+K145+K113+K94+K61+K57+K52+K40+K27+K19+K16+K5+K13+K142</f>
        <v>75383419.670000002</v>
      </c>
      <c r="L223" s="172">
        <f t="shared" si="98"/>
        <v>74324814.670000002</v>
      </c>
      <c r="M223" s="172">
        <f t="shared" si="98"/>
        <v>57121519.600000001</v>
      </c>
      <c r="N223" s="172">
        <f t="shared" si="98"/>
        <v>4531634.3100000005</v>
      </c>
      <c r="O223" s="172">
        <f t="shared" si="98"/>
        <v>0</v>
      </c>
      <c r="P223" s="172">
        <f t="shared" si="98"/>
        <v>12671660.76</v>
      </c>
      <c r="Q223" s="172">
        <f t="shared" si="98"/>
        <v>0</v>
      </c>
      <c r="R223" s="172">
        <f t="shared" si="98"/>
        <v>205625</v>
      </c>
      <c r="S223" s="172">
        <f t="shared" si="98"/>
        <v>852980</v>
      </c>
      <c r="T223" s="172">
        <f t="shared" si="98"/>
        <v>110400</v>
      </c>
      <c r="U223" s="172">
        <f t="shared" si="98"/>
        <v>194600</v>
      </c>
      <c r="V223" s="172">
        <f t="shared" si="98"/>
        <v>0</v>
      </c>
      <c r="W223" s="172">
        <f t="shared" si="98"/>
        <v>5000</v>
      </c>
      <c r="X223" s="172">
        <f t="shared" si="98"/>
        <v>5000</v>
      </c>
      <c r="Y223" s="172">
        <f t="shared" si="98"/>
        <v>0</v>
      </c>
      <c r="Z223" s="172">
        <f t="shared" si="98"/>
        <v>204000</v>
      </c>
      <c r="AA223" s="172">
        <f t="shared" si="98"/>
        <v>173440</v>
      </c>
      <c r="AB223" s="172">
        <f t="shared" si="98"/>
        <v>160540</v>
      </c>
      <c r="AC223" s="172">
        <f t="shared" si="98"/>
        <v>0</v>
      </c>
    </row>
    <row r="224" spans="1:29" ht="24" customHeight="1" x14ac:dyDescent="0.2">
      <c r="B224" s="173"/>
      <c r="D224" s="174" t="s">
        <v>370</v>
      </c>
      <c r="E224" s="175"/>
      <c r="F224" s="176"/>
      <c r="G224" s="176"/>
      <c r="H224" s="176"/>
      <c r="I224" s="176"/>
      <c r="J224" s="177"/>
      <c r="K224" s="176">
        <f>K225+K235</f>
        <v>75383419.670000002</v>
      </c>
      <c r="L224" s="177"/>
      <c r="M224" s="177"/>
      <c r="N224" s="176">
        <f>N223+P223</f>
        <v>17203295.07</v>
      </c>
      <c r="O224" s="177"/>
      <c r="P224" s="177"/>
      <c r="Q224" s="177"/>
      <c r="R224" s="177"/>
      <c r="S224" s="177"/>
      <c r="T224" s="178"/>
      <c r="AB224" s="179">
        <f>AC224-K224</f>
        <v>0</v>
      </c>
      <c r="AC224" s="179">
        <f>AB223+AA223+Z223+Y223+X223+W223+V223+U223+T223+R223+Q223+P223+O223+N223+M223</f>
        <v>75383419.670000002</v>
      </c>
    </row>
    <row r="225" spans="2:29" ht="25.5" customHeight="1" x14ac:dyDescent="0.2">
      <c r="B225" s="173"/>
      <c r="C225" s="180"/>
      <c r="D225" s="181" t="s">
        <v>371</v>
      </c>
      <c r="E225" s="182">
        <f>E227+E228+E229+E232+E233+E234</f>
        <v>74103770.980000004</v>
      </c>
      <c r="F225" s="182">
        <f t="shared" ref="F225:AC225" si="99">F227+F228+F229+F232+F233+F234</f>
        <v>58654954.429999992</v>
      </c>
      <c r="G225" s="183">
        <f>F225/E225</f>
        <v>0.79152455609621375</v>
      </c>
      <c r="H225" s="182">
        <f t="shared" si="99"/>
        <v>73937417.149999991</v>
      </c>
      <c r="I225" s="182">
        <f t="shared" si="99"/>
        <v>73656019.670000002</v>
      </c>
      <c r="J225" s="183">
        <f>I225/E225</f>
        <v>0.99395777969084942</v>
      </c>
      <c r="K225" s="184">
        <f t="shared" si="99"/>
        <v>73656019.670000002</v>
      </c>
      <c r="L225" s="184">
        <f t="shared" si="99"/>
        <v>72597414.670000002</v>
      </c>
      <c r="M225" s="185">
        <f t="shared" si="99"/>
        <v>56423119.599999994</v>
      </c>
      <c r="N225" s="185">
        <f t="shared" si="99"/>
        <v>3502634.31</v>
      </c>
      <c r="O225" s="182">
        <f t="shared" si="99"/>
        <v>0</v>
      </c>
      <c r="P225" s="185">
        <f t="shared" si="99"/>
        <v>12671660.76</v>
      </c>
      <c r="Q225" s="182">
        <f t="shared" si="99"/>
        <v>0</v>
      </c>
      <c r="R225" s="185">
        <f t="shared" si="99"/>
        <v>205625</v>
      </c>
      <c r="S225" s="185">
        <f t="shared" si="99"/>
        <v>852980</v>
      </c>
      <c r="T225" s="185">
        <f t="shared" si="99"/>
        <v>110400</v>
      </c>
      <c r="U225" s="185">
        <f t="shared" si="99"/>
        <v>194600</v>
      </c>
      <c r="V225" s="185">
        <f t="shared" si="99"/>
        <v>0</v>
      </c>
      <c r="W225" s="185">
        <f t="shared" si="99"/>
        <v>5000</v>
      </c>
      <c r="X225" s="185">
        <f t="shared" si="99"/>
        <v>5000</v>
      </c>
      <c r="Y225" s="185">
        <f t="shared" si="99"/>
        <v>0</v>
      </c>
      <c r="Z225" s="185">
        <f t="shared" si="99"/>
        <v>204000</v>
      </c>
      <c r="AA225" s="185">
        <f t="shared" si="99"/>
        <v>173440</v>
      </c>
      <c r="AB225" s="185">
        <f t="shared" si="99"/>
        <v>160540</v>
      </c>
      <c r="AC225" s="185">
        <f t="shared" si="99"/>
        <v>0</v>
      </c>
    </row>
    <row r="226" spans="2:29" x14ac:dyDescent="0.2">
      <c r="C226" s="186"/>
      <c r="D226" s="187" t="s">
        <v>372</v>
      </c>
      <c r="E226" s="188"/>
      <c r="F226" s="186"/>
      <c r="G226" s="186"/>
      <c r="H226" s="186"/>
      <c r="I226" s="186"/>
      <c r="J226" s="183"/>
      <c r="K226" s="186"/>
      <c r="L226" s="186"/>
      <c r="M226" s="186"/>
      <c r="N226" s="186"/>
      <c r="O226" s="186"/>
      <c r="P226" s="186"/>
      <c r="Q226" s="186"/>
      <c r="R226" s="186"/>
      <c r="S226" s="186"/>
      <c r="T226" s="186"/>
      <c r="U226" s="186"/>
      <c r="V226" s="186"/>
      <c r="W226" s="186"/>
      <c r="X226" s="186"/>
      <c r="Y226" s="186"/>
      <c r="Z226" s="186"/>
      <c r="AA226" s="186"/>
      <c r="AB226" s="186"/>
      <c r="AC226" s="186"/>
    </row>
    <row r="227" spans="2:29" x14ac:dyDescent="0.2">
      <c r="C227" s="189" t="s">
        <v>373</v>
      </c>
      <c r="D227" s="187" t="s">
        <v>374</v>
      </c>
      <c r="E227" s="190" t="str">
        <f>E92</f>
        <v>11 387 283,00</v>
      </c>
      <c r="F227" s="190">
        <f>F92</f>
        <v>8545865</v>
      </c>
      <c r="G227" s="191">
        <f>F227/E227</f>
        <v>0.75047445470530594</v>
      </c>
      <c r="H227" s="190">
        <f>H92</f>
        <v>11387283</v>
      </c>
      <c r="I227" s="190">
        <f>I92</f>
        <v>13131081</v>
      </c>
      <c r="J227" s="192">
        <f>I227/E227</f>
        <v>1.1531355635931766</v>
      </c>
      <c r="K227" s="190">
        <f t="shared" ref="K227:AC228" si="100">K92</f>
        <v>13131081</v>
      </c>
      <c r="L227" s="190">
        <f t="shared" si="100"/>
        <v>13131081</v>
      </c>
      <c r="M227" s="190">
        <f t="shared" si="100"/>
        <v>13131081</v>
      </c>
      <c r="N227" s="190">
        <f t="shared" si="100"/>
        <v>0</v>
      </c>
      <c r="O227" s="190">
        <f t="shared" si="100"/>
        <v>0</v>
      </c>
      <c r="P227" s="190">
        <f t="shared" si="100"/>
        <v>0</v>
      </c>
      <c r="Q227" s="190">
        <f t="shared" si="100"/>
        <v>0</v>
      </c>
      <c r="R227" s="190">
        <f t="shared" si="100"/>
        <v>0</v>
      </c>
      <c r="S227" s="190">
        <f t="shared" si="100"/>
        <v>0</v>
      </c>
      <c r="T227" s="190">
        <f t="shared" si="100"/>
        <v>0</v>
      </c>
      <c r="U227" s="190">
        <f t="shared" si="100"/>
        <v>0</v>
      </c>
      <c r="V227" s="190">
        <f t="shared" si="100"/>
        <v>0</v>
      </c>
      <c r="W227" s="190">
        <f t="shared" si="100"/>
        <v>0</v>
      </c>
      <c r="X227" s="190">
        <f t="shared" si="100"/>
        <v>0</v>
      </c>
      <c r="Y227" s="190">
        <f t="shared" si="100"/>
        <v>0</v>
      </c>
      <c r="Z227" s="190">
        <f t="shared" si="100"/>
        <v>0</v>
      </c>
      <c r="AA227" s="190">
        <f t="shared" si="100"/>
        <v>0</v>
      </c>
      <c r="AB227" s="190">
        <f t="shared" si="100"/>
        <v>0</v>
      </c>
      <c r="AC227" s="190">
        <f t="shared" si="100"/>
        <v>0</v>
      </c>
    </row>
    <row r="228" spans="2:29" x14ac:dyDescent="0.2">
      <c r="C228" s="189" t="s">
        <v>375</v>
      </c>
      <c r="D228" s="187" t="s">
        <v>376</v>
      </c>
      <c r="E228" s="190" t="str">
        <f>E93</f>
        <v>1 500 000,00</v>
      </c>
      <c r="F228" s="190">
        <f>F93</f>
        <v>915445.29</v>
      </c>
      <c r="G228" s="191">
        <f t="shared" ref="G228:G240" si="101">F228/E228</f>
        <v>0.61029686000000005</v>
      </c>
      <c r="H228" s="190">
        <f>H93</f>
        <v>1320593.72</v>
      </c>
      <c r="I228" s="190">
        <f>I93</f>
        <v>1500000</v>
      </c>
      <c r="J228" s="192">
        <f>I228/E228</f>
        <v>1</v>
      </c>
      <c r="K228" s="190">
        <f t="shared" si="100"/>
        <v>1500000</v>
      </c>
      <c r="L228" s="190">
        <f t="shared" si="100"/>
        <v>1500000</v>
      </c>
      <c r="M228" s="190">
        <f t="shared" si="100"/>
        <v>1500000</v>
      </c>
      <c r="N228" s="190">
        <f t="shared" si="100"/>
        <v>0</v>
      </c>
      <c r="O228" s="190">
        <f t="shared" si="100"/>
        <v>0</v>
      </c>
      <c r="P228" s="190">
        <f t="shared" si="100"/>
        <v>0</v>
      </c>
      <c r="Q228" s="190">
        <f t="shared" si="100"/>
        <v>0</v>
      </c>
      <c r="R228" s="190">
        <f t="shared" si="100"/>
        <v>0</v>
      </c>
      <c r="S228" s="190">
        <f t="shared" si="100"/>
        <v>0</v>
      </c>
      <c r="T228" s="190">
        <f t="shared" si="100"/>
        <v>0</v>
      </c>
      <c r="U228" s="190">
        <f t="shared" si="100"/>
        <v>0</v>
      </c>
      <c r="V228" s="190">
        <f t="shared" si="100"/>
        <v>0</v>
      </c>
      <c r="W228" s="190">
        <f t="shared" si="100"/>
        <v>0</v>
      </c>
      <c r="X228" s="190">
        <f t="shared" si="100"/>
        <v>0</v>
      </c>
      <c r="Y228" s="190">
        <f t="shared" si="100"/>
        <v>0</v>
      </c>
      <c r="Z228" s="190">
        <f t="shared" si="100"/>
        <v>0</v>
      </c>
      <c r="AA228" s="190">
        <f t="shared" si="100"/>
        <v>0</v>
      </c>
      <c r="AB228" s="190">
        <f t="shared" si="100"/>
        <v>0</v>
      </c>
      <c r="AC228" s="190">
        <f t="shared" si="100"/>
        <v>0</v>
      </c>
    </row>
    <row r="229" spans="2:29" x14ac:dyDescent="0.2">
      <c r="C229" s="189" t="s">
        <v>377</v>
      </c>
      <c r="D229" s="187" t="s">
        <v>378</v>
      </c>
      <c r="E229" s="190">
        <f>E205+E201+E200+E126+E125+E87+E86+E82+E81+E80+E79+E78+E77+E76+E75+E70+E69+E68+E67+E66+E63+E30+E29+E23+E18+E25+E31+E46+E71+E88+E89+E101</f>
        <v>14826008.49</v>
      </c>
      <c r="F229" s="190">
        <f>F205+F201+F200+F126+F125+F87+F86+F82+F81+F80+F79+F78+F77+F76+F75+F70+F69+F68+F67+F66+F63+F30+F29+F23+F18+F25+F31+F46+F71+F88+F89+F101</f>
        <v>11457909.789999997</v>
      </c>
      <c r="G229" s="191">
        <f t="shared" si="101"/>
        <v>0.77282498507459019</v>
      </c>
      <c r="H229" s="190">
        <f t="shared" ref="H229:AC229" si="102">H205+H201+H200+H126+H125+H87+H86+H82+H81+H80+H79+H78+H77+H76+H75+H70+H69+H68+H67+H66+H63+H30+H29+H23+H18+H25+H31+H46+H71+H88+H89+H101</f>
        <v>14614577.189999999</v>
      </c>
      <c r="I229" s="190">
        <f t="shared" si="102"/>
        <v>15721198.310000001</v>
      </c>
      <c r="J229" s="192">
        <f>I229/E229</f>
        <v>1.0603796915807648</v>
      </c>
      <c r="K229" s="190">
        <f t="shared" si="102"/>
        <v>15721198.310000001</v>
      </c>
      <c r="L229" s="190">
        <f t="shared" si="102"/>
        <v>15191508.310000001</v>
      </c>
      <c r="M229" s="190">
        <f t="shared" si="102"/>
        <v>0</v>
      </c>
      <c r="N229" s="190">
        <f t="shared" si="102"/>
        <v>3429634.31</v>
      </c>
      <c r="O229" s="190">
        <f t="shared" si="102"/>
        <v>0</v>
      </c>
      <c r="P229" s="190">
        <f t="shared" si="102"/>
        <v>11761874</v>
      </c>
      <c r="Q229" s="190">
        <f t="shared" si="102"/>
        <v>0</v>
      </c>
      <c r="R229" s="190">
        <f t="shared" si="102"/>
        <v>0</v>
      </c>
      <c r="S229" s="190">
        <f t="shared" si="102"/>
        <v>529690</v>
      </c>
      <c r="T229" s="190">
        <f t="shared" si="102"/>
        <v>0</v>
      </c>
      <c r="U229" s="190">
        <f t="shared" si="102"/>
        <v>0</v>
      </c>
      <c r="V229" s="190">
        <f t="shared" si="102"/>
        <v>0</v>
      </c>
      <c r="W229" s="190">
        <f t="shared" si="102"/>
        <v>0</v>
      </c>
      <c r="X229" s="190">
        <f t="shared" si="102"/>
        <v>0</v>
      </c>
      <c r="Y229" s="190">
        <f t="shared" si="102"/>
        <v>0</v>
      </c>
      <c r="Z229" s="190">
        <f t="shared" si="102"/>
        <v>200000</v>
      </c>
      <c r="AA229" s="190">
        <f t="shared" si="102"/>
        <v>172000</v>
      </c>
      <c r="AB229" s="190">
        <f t="shared" si="102"/>
        <v>157690</v>
      </c>
      <c r="AC229" s="190">
        <f t="shared" si="102"/>
        <v>0</v>
      </c>
    </row>
    <row r="230" spans="2:29" x14ac:dyDescent="0.2">
      <c r="C230" s="193"/>
      <c r="D230" s="194" t="s">
        <v>372</v>
      </c>
      <c r="E230" s="195"/>
      <c r="F230" s="195"/>
      <c r="G230" s="191"/>
      <c r="H230" s="195"/>
      <c r="I230" s="195"/>
      <c r="J230" s="192"/>
      <c r="K230" s="195"/>
      <c r="L230" s="195"/>
      <c r="M230" s="195"/>
      <c r="N230" s="195"/>
      <c r="O230" s="195"/>
      <c r="P230" s="195"/>
      <c r="Q230" s="195"/>
      <c r="R230" s="195"/>
      <c r="S230" s="195"/>
      <c r="T230" s="195"/>
      <c r="U230" s="195"/>
      <c r="V230" s="195"/>
      <c r="W230" s="195"/>
      <c r="X230" s="195"/>
      <c r="Y230" s="195"/>
      <c r="Z230" s="195"/>
      <c r="AA230" s="195"/>
      <c r="AB230" s="195"/>
      <c r="AC230" s="195"/>
    </row>
    <row r="231" spans="2:29" x14ac:dyDescent="0.2">
      <c r="C231" s="196"/>
      <c r="D231" s="187" t="s">
        <v>379</v>
      </c>
      <c r="E231" s="190">
        <f>E75+E66</f>
        <v>9143465</v>
      </c>
      <c r="F231" s="190">
        <f>F75+F66</f>
        <v>7324510.6299999999</v>
      </c>
      <c r="G231" s="191">
        <f t="shared" si="101"/>
        <v>0.80106509184428443</v>
      </c>
      <c r="H231" s="190">
        <f>H75+H66</f>
        <v>9551506.2699999996</v>
      </c>
      <c r="I231" s="190">
        <f>I75+I66</f>
        <v>9319372</v>
      </c>
      <c r="J231" s="192">
        <f>I231/E231</f>
        <v>1.0192385490620897</v>
      </c>
      <c r="K231" s="190">
        <f t="shared" ref="K231:AC231" si="103">K75+K66</f>
        <v>9319372</v>
      </c>
      <c r="L231" s="190">
        <f t="shared" si="103"/>
        <v>9319372</v>
      </c>
      <c r="M231" s="190">
        <f t="shared" si="103"/>
        <v>0</v>
      </c>
      <c r="N231" s="190">
        <f t="shared" si="103"/>
        <v>0</v>
      </c>
      <c r="O231" s="190">
        <f t="shared" si="103"/>
        <v>0</v>
      </c>
      <c r="P231" s="190">
        <f t="shared" si="103"/>
        <v>9319372</v>
      </c>
      <c r="Q231" s="190">
        <f t="shared" si="103"/>
        <v>0</v>
      </c>
      <c r="R231" s="190">
        <f t="shared" si="103"/>
        <v>0</v>
      </c>
      <c r="S231" s="190">
        <f t="shared" si="103"/>
        <v>0</v>
      </c>
      <c r="T231" s="190">
        <f t="shared" si="103"/>
        <v>0</v>
      </c>
      <c r="U231" s="190">
        <f t="shared" si="103"/>
        <v>0</v>
      </c>
      <c r="V231" s="190">
        <f t="shared" si="103"/>
        <v>0</v>
      </c>
      <c r="W231" s="190">
        <f t="shared" si="103"/>
        <v>0</v>
      </c>
      <c r="X231" s="190">
        <f t="shared" si="103"/>
        <v>0</v>
      </c>
      <c r="Y231" s="190">
        <f t="shared" si="103"/>
        <v>0</v>
      </c>
      <c r="Z231" s="190">
        <f t="shared" si="103"/>
        <v>0</v>
      </c>
      <c r="AA231" s="190">
        <f t="shared" si="103"/>
        <v>0</v>
      </c>
      <c r="AB231" s="190">
        <f t="shared" si="103"/>
        <v>0</v>
      </c>
      <c r="AC231" s="190">
        <f t="shared" si="103"/>
        <v>0</v>
      </c>
    </row>
    <row r="232" spans="2:29" x14ac:dyDescent="0.2">
      <c r="C232" s="189" t="s">
        <v>380</v>
      </c>
      <c r="D232" s="187" t="s">
        <v>381</v>
      </c>
      <c r="E232" s="190">
        <f>E112+E98+E96</f>
        <v>18973521</v>
      </c>
      <c r="F232" s="190">
        <f>F112+F98+F96</f>
        <v>15575744</v>
      </c>
      <c r="G232" s="191">
        <f t="shared" si="101"/>
        <v>0.82092006011957397</v>
      </c>
      <c r="H232" s="190">
        <f>H112+H98+H96</f>
        <v>18973521</v>
      </c>
      <c r="I232" s="190">
        <f>I112+I98+I96</f>
        <v>19990389</v>
      </c>
      <c r="J232" s="192">
        <f>I232/E232</f>
        <v>1.0535940587938317</v>
      </c>
      <c r="K232" s="190">
        <f t="shared" ref="K232:AC232" si="104">K112+K98+K96</f>
        <v>19990389</v>
      </c>
      <c r="L232" s="190">
        <f t="shared" si="104"/>
        <v>19990389</v>
      </c>
      <c r="M232" s="190">
        <f t="shared" si="104"/>
        <v>19990389</v>
      </c>
      <c r="N232" s="190">
        <f t="shared" si="104"/>
        <v>0</v>
      </c>
      <c r="O232" s="190">
        <f t="shared" si="104"/>
        <v>0</v>
      </c>
      <c r="P232" s="190">
        <f t="shared" si="104"/>
        <v>0</v>
      </c>
      <c r="Q232" s="190">
        <f t="shared" si="104"/>
        <v>0</v>
      </c>
      <c r="R232" s="190">
        <f t="shared" si="104"/>
        <v>0</v>
      </c>
      <c r="S232" s="190">
        <f t="shared" si="104"/>
        <v>0</v>
      </c>
      <c r="T232" s="190">
        <f t="shared" si="104"/>
        <v>0</v>
      </c>
      <c r="U232" s="190">
        <f t="shared" si="104"/>
        <v>0</v>
      </c>
      <c r="V232" s="190">
        <f t="shared" si="104"/>
        <v>0</v>
      </c>
      <c r="W232" s="190">
        <f t="shared" si="104"/>
        <v>0</v>
      </c>
      <c r="X232" s="190">
        <f t="shared" si="104"/>
        <v>0</v>
      </c>
      <c r="Y232" s="190">
        <f t="shared" si="104"/>
        <v>0</v>
      </c>
      <c r="Z232" s="190">
        <f t="shared" si="104"/>
        <v>0</v>
      </c>
      <c r="AA232" s="190">
        <f t="shared" si="104"/>
        <v>0</v>
      </c>
      <c r="AB232" s="190">
        <f t="shared" si="104"/>
        <v>0</v>
      </c>
      <c r="AC232" s="190">
        <f t="shared" si="104"/>
        <v>0</v>
      </c>
    </row>
    <row r="233" spans="2:29" x14ac:dyDescent="0.2">
      <c r="C233" s="189" t="s">
        <v>382</v>
      </c>
      <c r="D233" s="187" t="s">
        <v>383</v>
      </c>
      <c r="E233" s="190">
        <f>E216+E195+E193+E189+E183+E177+E174+E173+E170+E167+E166+E163+E160+E157+E155+E152+E151+E147+E140+E139++E138+E137+E134+E132+E129+E128+E123+E119+E106+E60+E56+E54+E42+E21+E12+E7+E107+E197</f>
        <v>25837465.679999996</v>
      </c>
      <c r="F233" s="190">
        <f t="shared" ref="F233:AC233" si="105">F216+F195+F193+F189+F183+F177+F174+F173+F170+F167+F166+F163+F160+F157+F155+F152+F151+F147+F140+F139++F138+F137+F134+F132+F129+F128+F123+F119+F106+F60+F56+F54+F42+F21+F12+F7+F107+F197</f>
        <v>20857572.069999997</v>
      </c>
      <c r="G233" s="191">
        <f t="shared" si="101"/>
        <v>0.80726075569188716</v>
      </c>
      <c r="H233" s="190">
        <f t="shared" si="105"/>
        <v>25849542.879999995</v>
      </c>
      <c r="I233" s="190">
        <f t="shared" si="105"/>
        <v>21819649.599999998</v>
      </c>
      <c r="J233" s="192">
        <f>I233/E233</f>
        <v>0.84449651023203609</v>
      </c>
      <c r="K233" s="190">
        <f t="shared" si="105"/>
        <v>21819649.599999998</v>
      </c>
      <c r="L233" s="190">
        <f t="shared" si="105"/>
        <v>21801649.599999998</v>
      </c>
      <c r="M233" s="190">
        <f t="shared" si="105"/>
        <v>21801649.599999998</v>
      </c>
      <c r="N233" s="190">
        <f t="shared" si="105"/>
        <v>0</v>
      </c>
      <c r="O233" s="190">
        <f t="shared" si="105"/>
        <v>0</v>
      </c>
      <c r="P233" s="190">
        <f t="shared" si="105"/>
        <v>0</v>
      </c>
      <c r="Q233" s="190">
        <f t="shared" si="105"/>
        <v>0</v>
      </c>
      <c r="R233" s="190">
        <f t="shared" si="105"/>
        <v>0</v>
      </c>
      <c r="S233" s="190">
        <f t="shared" si="105"/>
        <v>18000</v>
      </c>
      <c r="T233" s="190">
        <f t="shared" si="105"/>
        <v>5400</v>
      </c>
      <c r="U233" s="190">
        <f t="shared" si="105"/>
        <v>12600</v>
      </c>
      <c r="V233" s="190">
        <f t="shared" si="105"/>
        <v>0</v>
      </c>
      <c r="W233" s="190">
        <f t="shared" si="105"/>
        <v>0</v>
      </c>
      <c r="X233" s="190">
        <f t="shared" si="105"/>
        <v>0</v>
      </c>
      <c r="Y233" s="190">
        <f t="shared" si="105"/>
        <v>0</v>
      </c>
      <c r="Z233" s="190">
        <f t="shared" si="105"/>
        <v>0</v>
      </c>
      <c r="AA233" s="190">
        <f t="shared" si="105"/>
        <v>0</v>
      </c>
      <c r="AB233" s="190">
        <f t="shared" si="105"/>
        <v>0</v>
      </c>
      <c r="AC233" s="190">
        <f t="shared" si="105"/>
        <v>0</v>
      </c>
    </row>
    <row r="234" spans="2:29" x14ac:dyDescent="0.2">
      <c r="C234" s="189" t="s">
        <v>384</v>
      </c>
      <c r="D234" s="187" t="s">
        <v>385</v>
      </c>
      <c r="E234" s="190">
        <f>E212+E207+E191+E190+E186+E184+E180+E168+E165+E161+E153+E131+E127+E122+E118+E117+E116+E108+E104+E103+E83+E73+E72+E59+E47+E45+E33+E32+E10+E84+E11+E24+E26+E36+E37+E38+E43+E49+E64+E90+E100+E102+E105+E115+E136+E144+E202+E203+E208+E221+E222+E213+E159+E150+E181+E182+E187+E188+E211</f>
        <v>1579492.81</v>
      </c>
      <c r="F234" s="190">
        <f t="shared" ref="F234:AC234" si="106">F212+F207+F191+F190+F186+F184+F180+F168+F165+F161+F153+F131+F127+F122+F118+F117+F116+F108+F104+F103+F83+F73+F72+F59+F47+F45+F33+F32+F10+F84+F11+F24+F26+F36+F37+F38+F43+F49+F64+F90+F100+F102+F105+F115+F136+F144+F202+F203+F208+F221+F222+F213+F159+F150+F181+F182+F187+F188+F211</f>
        <v>1302418.28</v>
      </c>
      <c r="G234" s="191">
        <f t="shared" si="101"/>
        <v>0.82458006250753368</v>
      </c>
      <c r="H234" s="190">
        <f t="shared" si="106"/>
        <v>1791899.36</v>
      </c>
      <c r="I234" s="190">
        <f t="shared" si="106"/>
        <v>1493701.76</v>
      </c>
      <c r="J234" s="192">
        <f>I234/E234</f>
        <v>0.94568443144733272</v>
      </c>
      <c r="K234" s="190">
        <f t="shared" si="106"/>
        <v>1493701.76</v>
      </c>
      <c r="L234" s="190">
        <f t="shared" si="106"/>
        <v>982786.76</v>
      </c>
      <c r="M234" s="190">
        <f t="shared" si="106"/>
        <v>0</v>
      </c>
      <c r="N234" s="190">
        <f t="shared" si="106"/>
        <v>73000</v>
      </c>
      <c r="O234" s="190">
        <f t="shared" si="106"/>
        <v>0</v>
      </c>
      <c r="P234" s="190">
        <f t="shared" si="106"/>
        <v>909786.76</v>
      </c>
      <c r="Q234" s="190">
        <f t="shared" si="106"/>
        <v>0</v>
      </c>
      <c r="R234" s="190">
        <f t="shared" si="106"/>
        <v>205625</v>
      </c>
      <c r="S234" s="190">
        <f t="shared" si="106"/>
        <v>305290</v>
      </c>
      <c r="T234" s="190">
        <f t="shared" si="106"/>
        <v>105000</v>
      </c>
      <c r="U234" s="190">
        <f t="shared" si="106"/>
        <v>182000</v>
      </c>
      <c r="V234" s="190">
        <f t="shared" si="106"/>
        <v>0</v>
      </c>
      <c r="W234" s="190">
        <f t="shared" si="106"/>
        <v>5000</v>
      </c>
      <c r="X234" s="190">
        <f t="shared" si="106"/>
        <v>5000</v>
      </c>
      <c r="Y234" s="190">
        <f t="shared" si="106"/>
        <v>0</v>
      </c>
      <c r="Z234" s="190">
        <f t="shared" si="106"/>
        <v>4000</v>
      </c>
      <c r="AA234" s="190">
        <f t="shared" si="106"/>
        <v>1440</v>
      </c>
      <c r="AB234" s="190">
        <f t="shared" si="106"/>
        <v>2850</v>
      </c>
      <c r="AC234" s="190">
        <f t="shared" si="106"/>
        <v>0</v>
      </c>
    </row>
    <row r="235" spans="2:29" ht="25.5" customHeight="1" x14ac:dyDescent="0.2">
      <c r="C235" s="197"/>
      <c r="D235" s="181" t="s">
        <v>386</v>
      </c>
      <c r="E235" s="182">
        <f>E237+E238+E239+E240</f>
        <v>3388445.8200000003</v>
      </c>
      <c r="F235" s="182">
        <f t="shared" ref="F235:AC235" si="107">F237+F238+F239+F240</f>
        <v>2092358.29</v>
      </c>
      <c r="G235" s="198">
        <f t="shared" si="101"/>
        <v>0.61749793301992351</v>
      </c>
      <c r="H235" s="182">
        <f t="shared" si="107"/>
        <v>2322926.7599999998</v>
      </c>
      <c r="I235" s="182">
        <f t="shared" si="107"/>
        <v>1727400</v>
      </c>
      <c r="J235" s="198">
        <f>I235/E235</f>
        <v>0.50979124110651997</v>
      </c>
      <c r="K235" s="182">
        <f t="shared" si="107"/>
        <v>1727400</v>
      </c>
      <c r="L235" s="182">
        <f t="shared" si="107"/>
        <v>1727400</v>
      </c>
      <c r="M235" s="182">
        <f t="shared" si="107"/>
        <v>698400</v>
      </c>
      <c r="N235" s="185">
        <f t="shared" si="107"/>
        <v>1029000</v>
      </c>
      <c r="O235" s="182">
        <f t="shared" si="107"/>
        <v>0</v>
      </c>
      <c r="P235" s="182">
        <f t="shared" si="107"/>
        <v>0</v>
      </c>
      <c r="Q235" s="182">
        <f t="shared" si="107"/>
        <v>0</v>
      </c>
      <c r="R235" s="182">
        <f t="shared" si="107"/>
        <v>0</v>
      </c>
      <c r="S235" s="182">
        <f t="shared" si="107"/>
        <v>0</v>
      </c>
      <c r="T235" s="182">
        <f t="shared" si="107"/>
        <v>0</v>
      </c>
      <c r="U235" s="182">
        <f t="shared" si="107"/>
        <v>0</v>
      </c>
      <c r="V235" s="182">
        <f t="shared" si="107"/>
        <v>0</v>
      </c>
      <c r="W235" s="182">
        <f t="shared" si="107"/>
        <v>0</v>
      </c>
      <c r="X235" s="182">
        <f t="shared" si="107"/>
        <v>0</v>
      </c>
      <c r="Y235" s="182">
        <f t="shared" si="107"/>
        <v>0</v>
      </c>
      <c r="Z235" s="182">
        <f t="shared" si="107"/>
        <v>0</v>
      </c>
      <c r="AA235" s="182">
        <f t="shared" si="107"/>
        <v>0</v>
      </c>
      <c r="AB235" s="182">
        <f t="shared" si="107"/>
        <v>0</v>
      </c>
      <c r="AC235" s="182">
        <f t="shared" si="107"/>
        <v>0</v>
      </c>
    </row>
    <row r="236" spans="2:29" x14ac:dyDescent="0.2">
      <c r="C236" s="199"/>
      <c r="D236" s="200" t="s">
        <v>372</v>
      </c>
      <c r="E236" s="195"/>
      <c r="F236" s="195"/>
      <c r="G236" s="191"/>
      <c r="H236" s="195"/>
      <c r="I236" s="195"/>
      <c r="J236" s="183"/>
      <c r="K236" s="195"/>
      <c r="L236" s="195"/>
      <c r="M236" s="195"/>
      <c r="N236" s="195"/>
      <c r="O236" s="195"/>
      <c r="P236" s="195"/>
      <c r="Q236" s="195"/>
      <c r="R236" s="195"/>
      <c r="S236" s="195"/>
      <c r="T236" s="195"/>
      <c r="U236" s="195"/>
      <c r="V236" s="195"/>
      <c r="W236" s="195"/>
      <c r="X236" s="195"/>
      <c r="Y236" s="195"/>
      <c r="Z236" s="195"/>
      <c r="AA236" s="195"/>
      <c r="AB236" s="195"/>
      <c r="AC236" s="195"/>
    </row>
    <row r="237" spans="2:29" x14ac:dyDescent="0.2">
      <c r="C237" s="189" t="s">
        <v>373</v>
      </c>
      <c r="D237" s="187" t="s">
        <v>387</v>
      </c>
      <c r="E237" s="190">
        <f>E35+E15+E51</f>
        <v>1000000</v>
      </c>
      <c r="F237" s="190">
        <f t="shared" ref="F237:AC237" si="108">F35+F15+F51</f>
        <v>991558.65</v>
      </c>
      <c r="G237" s="191">
        <f t="shared" si="101"/>
        <v>0.99155864999999999</v>
      </c>
      <c r="H237" s="190">
        <f t="shared" si="108"/>
        <v>1005298.87</v>
      </c>
      <c r="I237" s="190">
        <f t="shared" si="108"/>
        <v>1000000</v>
      </c>
      <c r="J237" s="191">
        <f t="shared" ref="J237:J240" si="109">I237/E237</f>
        <v>1</v>
      </c>
      <c r="K237" s="190">
        <f t="shared" si="108"/>
        <v>1000000</v>
      </c>
      <c r="L237" s="190">
        <f t="shared" si="108"/>
        <v>1000000</v>
      </c>
      <c r="M237" s="190">
        <f t="shared" si="108"/>
        <v>0</v>
      </c>
      <c r="N237" s="190">
        <f t="shared" si="108"/>
        <v>1000000</v>
      </c>
      <c r="O237" s="190">
        <f t="shared" si="108"/>
        <v>0</v>
      </c>
      <c r="P237" s="190">
        <f t="shared" si="108"/>
        <v>0</v>
      </c>
      <c r="Q237" s="190">
        <f t="shared" si="108"/>
        <v>0</v>
      </c>
      <c r="R237" s="190">
        <f t="shared" si="108"/>
        <v>0</v>
      </c>
      <c r="S237" s="190">
        <f t="shared" si="108"/>
        <v>0</v>
      </c>
      <c r="T237" s="190">
        <f t="shared" si="108"/>
        <v>0</v>
      </c>
      <c r="U237" s="190">
        <f t="shared" si="108"/>
        <v>0</v>
      </c>
      <c r="V237" s="190">
        <f t="shared" si="108"/>
        <v>0</v>
      </c>
      <c r="W237" s="190">
        <f t="shared" si="108"/>
        <v>0</v>
      </c>
      <c r="X237" s="190">
        <f t="shared" si="108"/>
        <v>0</v>
      </c>
      <c r="Y237" s="190">
        <f t="shared" si="108"/>
        <v>0</v>
      </c>
      <c r="Z237" s="190">
        <f t="shared" si="108"/>
        <v>0</v>
      </c>
      <c r="AA237" s="190">
        <f t="shared" si="108"/>
        <v>0</v>
      </c>
      <c r="AB237" s="190">
        <f t="shared" si="108"/>
        <v>0</v>
      </c>
      <c r="AC237" s="190">
        <f t="shared" si="108"/>
        <v>0</v>
      </c>
    </row>
    <row r="238" spans="2:29" ht="38.25" x14ac:dyDescent="0.2">
      <c r="C238" s="201" t="s">
        <v>375</v>
      </c>
      <c r="D238" s="202" t="s">
        <v>1033</v>
      </c>
      <c r="E238" s="203" t="str">
        <f>E34</f>
        <v>2 000,00</v>
      </c>
      <c r="F238" s="203">
        <f t="shared" ref="F238:AC238" si="110">F34</f>
        <v>12009.7</v>
      </c>
      <c r="G238" s="191">
        <f t="shared" si="101"/>
        <v>6.0048500000000002</v>
      </c>
      <c r="H238" s="203">
        <f t="shared" si="110"/>
        <v>12009.7</v>
      </c>
      <c r="I238" s="203">
        <f t="shared" si="110"/>
        <v>29000</v>
      </c>
      <c r="J238" s="191">
        <f t="shared" si="109"/>
        <v>14.5</v>
      </c>
      <c r="K238" s="203">
        <f t="shared" si="110"/>
        <v>29000</v>
      </c>
      <c r="L238" s="203">
        <f t="shared" si="110"/>
        <v>29000</v>
      </c>
      <c r="M238" s="203">
        <f t="shared" si="110"/>
        <v>0</v>
      </c>
      <c r="N238" s="203">
        <f t="shared" si="110"/>
        <v>29000</v>
      </c>
      <c r="O238" s="203">
        <f t="shared" si="110"/>
        <v>0</v>
      </c>
      <c r="P238" s="203">
        <f t="shared" si="110"/>
        <v>0</v>
      </c>
      <c r="Q238" s="203">
        <f t="shared" si="110"/>
        <v>0</v>
      </c>
      <c r="R238" s="203">
        <f t="shared" si="110"/>
        <v>0</v>
      </c>
      <c r="S238" s="203">
        <f t="shared" si="110"/>
        <v>0</v>
      </c>
      <c r="T238" s="203">
        <f t="shared" si="110"/>
        <v>0</v>
      </c>
      <c r="U238" s="203">
        <f t="shared" si="110"/>
        <v>0</v>
      </c>
      <c r="V238" s="203">
        <f t="shared" si="110"/>
        <v>0</v>
      </c>
      <c r="W238" s="203">
        <f t="shared" si="110"/>
        <v>0</v>
      </c>
      <c r="X238" s="203">
        <f t="shared" si="110"/>
        <v>0</v>
      </c>
      <c r="Y238" s="203">
        <f t="shared" si="110"/>
        <v>0</v>
      </c>
      <c r="Z238" s="203">
        <f t="shared" si="110"/>
        <v>0</v>
      </c>
      <c r="AA238" s="203">
        <f t="shared" si="110"/>
        <v>0</v>
      </c>
      <c r="AB238" s="203">
        <f t="shared" si="110"/>
        <v>0</v>
      </c>
      <c r="AC238" s="203">
        <f t="shared" si="110"/>
        <v>0</v>
      </c>
    </row>
    <row r="239" spans="2:29" x14ac:dyDescent="0.2">
      <c r="C239" s="189" t="s">
        <v>377</v>
      </c>
      <c r="D239" s="187" t="s">
        <v>388</v>
      </c>
      <c r="E239" s="190">
        <f>E219+E217+E148+E109+E39+E8+E141+E218+E120</f>
        <v>2308657.0700000003</v>
      </c>
      <c r="F239" s="190">
        <f t="shared" ref="F239:I239" si="111">F219+F217+F148+F109+F39+F8+F141+F218+F120</f>
        <v>1011001.19</v>
      </c>
      <c r="G239" s="191">
        <f t="shared" si="101"/>
        <v>0.43791743829671498</v>
      </c>
      <c r="H239" s="190">
        <f t="shared" si="111"/>
        <v>1227829.44</v>
      </c>
      <c r="I239" s="190">
        <f t="shared" si="111"/>
        <v>698400</v>
      </c>
      <c r="J239" s="191">
        <f t="shared" si="109"/>
        <v>0.30251353008439658</v>
      </c>
      <c r="K239" s="190">
        <f t="shared" ref="K239:AC239" si="112">K219+K217+K148+K109+K39+K8+K141+K218+K120</f>
        <v>698400</v>
      </c>
      <c r="L239" s="190">
        <f t="shared" si="112"/>
        <v>698400</v>
      </c>
      <c r="M239" s="190">
        <f t="shared" si="112"/>
        <v>698400</v>
      </c>
      <c r="N239" s="190">
        <f t="shared" si="112"/>
        <v>0</v>
      </c>
      <c r="O239" s="190">
        <f t="shared" si="112"/>
        <v>0</v>
      </c>
      <c r="P239" s="190">
        <f t="shared" si="112"/>
        <v>0</v>
      </c>
      <c r="Q239" s="190">
        <f t="shared" si="112"/>
        <v>0</v>
      </c>
      <c r="R239" s="190">
        <f t="shared" si="112"/>
        <v>0</v>
      </c>
      <c r="S239" s="190">
        <f t="shared" si="112"/>
        <v>0</v>
      </c>
      <c r="T239" s="190">
        <f t="shared" si="112"/>
        <v>0</v>
      </c>
      <c r="U239" s="190">
        <f t="shared" si="112"/>
        <v>0</v>
      </c>
      <c r="V239" s="190">
        <f t="shared" si="112"/>
        <v>0</v>
      </c>
      <c r="W239" s="190">
        <f t="shared" si="112"/>
        <v>0</v>
      </c>
      <c r="X239" s="190">
        <f t="shared" si="112"/>
        <v>0</v>
      </c>
      <c r="Y239" s="190">
        <f t="shared" si="112"/>
        <v>0</v>
      </c>
      <c r="Z239" s="190">
        <f t="shared" si="112"/>
        <v>0</v>
      </c>
      <c r="AA239" s="190">
        <f t="shared" si="112"/>
        <v>0</v>
      </c>
      <c r="AB239" s="190">
        <f t="shared" si="112"/>
        <v>0</v>
      </c>
      <c r="AC239" s="190">
        <f t="shared" si="112"/>
        <v>0</v>
      </c>
    </row>
    <row r="240" spans="2:29" ht="38.25" x14ac:dyDescent="0.2">
      <c r="C240" s="201" t="s">
        <v>380</v>
      </c>
      <c r="D240" s="202" t="s">
        <v>1034</v>
      </c>
      <c r="E240" s="203" t="str">
        <f>E110</f>
        <v>77 788,75</v>
      </c>
      <c r="F240" s="203">
        <f t="shared" ref="F240:AC240" si="113">F110</f>
        <v>77788.75</v>
      </c>
      <c r="G240" s="191">
        <f t="shared" si="101"/>
        <v>1</v>
      </c>
      <c r="H240" s="203">
        <f t="shared" si="113"/>
        <v>77788.75</v>
      </c>
      <c r="I240" s="203">
        <f t="shared" si="113"/>
        <v>0</v>
      </c>
      <c r="J240" s="191">
        <f t="shared" si="109"/>
        <v>0</v>
      </c>
      <c r="K240" s="203">
        <f t="shared" si="113"/>
        <v>0</v>
      </c>
      <c r="L240" s="203">
        <f t="shared" si="113"/>
        <v>0</v>
      </c>
      <c r="M240" s="203">
        <f t="shared" si="113"/>
        <v>0</v>
      </c>
      <c r="N240" s="203">
        <f t="shared" si="113"/>
        <v>0</v>
      </c>
      <c r="O240" s="203">
        <f t="shared" si="113"/>
        <v>0</v>
      </c>
      <c r="P240" s="203">
        <f t="shared" si="113"/>
        <v>0</v>
      </c>
      <c r="Q240" s="203">
        <f t="shared" si="113"/>
        <v>0</v>
      </c>
      <c r="R240" s="203">
        <f t="shared" si="113"/>
        <v>0</v>
      </c>
      <c r="S240" s="203">
        <f t="shared" si="113"/>
        <v>0</v>
      </c>
      <c r="T240" s="203">
        <f t="shared" si="113"/>
        <v>0</v>
      </c>
      <c r="U240" s="203">
        <f t="shared" si="113"/>
        <v>0</v>
      </c>
      <c r="V240" s="203">
        <f t="shared" si="113"/>
        <v>0</v>
      </c>
      <c r="W240" s="203">
        <f t="shared" si="113"/>
        <v>0</v>
      </c>
      <c r="X240" s="203">
        <f t="shared" si="113"/>
        <v>0</v>
      </c>
      <c r="Y240" s="203">
        <f t="shared" si="113"/>
        <v>0</v>
      </c>
      <c r="Z240" s="203">
        <f t="shared" si="113"/>
        <v>0</v>
      </c>
      <c r="AA240" s="203">
        <f t="shared" si="113"/>
        <v>0</v>
      </c>
      <c r="AB240" s="203">
        <f t="shared" si="113"/>
        <v>0</v>
      </c>
      <c r="AC240" s="203">
        <f t="shared" si="113"/>
        <v>0</v>
      </c>
    </row>
    <row r="241" spans="3:4" x14ac:dyDescent="0.2">
      <c r="C241" s="204"/>
      <c r="D241" s="205"/>
    </row>
    <row r="242" spans="3:4" x14ac:dyDescent="0.2">
      <c r="C242" s="204"/>
      <c r="D242" s="205"/>
    </row>
    <row r="243" spans="3:4" x14ac:dyDescent="0.2">
      <c r="C243" s="204"/>
      <c r="D243" s="205"/>
    </row>
    <row r="244" spans="3:4" x14ac:dyDescent="0.2">
      <c r="D244" s="205"/>
    </row>
    <row r="245" spans="3:4" x14ac:dyDescent="0.2">
      <c r="D245" s="205"/>
    </row>
  </sheetData>
  <mergeCells count="5">
    <mergeCell ref="A1:E1"/>
    <mergeCell ref="H1:J1"/>
    <mergeCell ref="A2:J2"/>
    <mergeCell ref="A3:J3"/>
    <mergeCell ref="A223:D223"/>
  </mergeCells>
  <pageMargins left="0.74803149606299213" right="0" top="0.78740157480314965" bottom="0.39370078740157483" header="0.31496062992125984" footer="0.11811023622047245"/>
  <pageSetup paperSize="9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5"/>
  <sheetViews>
    <sheetView showGridLines="0" tabSelected="1" zoomScale="115" zoomScaleNormal="115" workbookViewId="0">
      <pane xSplit="5" ySplit="4" topLeftCell="F190" activePane="bottomRight" state="frozen"/>
      <selection pane="topRight" activeCell="F1" sqref="F1"/>
      <selection pane="bottomLeft" activeCell="A5" sqref="A5"/>
      <selection pane="bottomRight" activeCell="D196" sqref="D196"/>
    </sheetView>
  </sheetViews>
  <sheetFormatPr defaultRowHeight="12.75" x14ac:dyDescent="0.2"/>
  <cols>
    <col min="1" max="1" width="6.140625" style="206" customWidth="1"/>
    <col min="2" max="2" width="8.42578125" style="206" customWidth="1"/>
    <col min="3" max="3" width="8.140625" style="206" customWidth="1"/>
    <col min="4" max="4" width="42" style="206" customWidth="1"/>
    <col min="5" max="5" width="13.28515625" style="206" customWidth="1"/>
    <col min="6" max="6" width="12.28515625" style="206" customWidth="1"/>
    <col min="7" max="7" width="9.28515625" style="206" bestFit="1" customWidth="1"/>
    <col min="8" max="8" width="13.42578125" style="206" customWidth="1"/>
    <col min="9" max="9" width="13.7109375" style="206" customWidth="1"/>
    <col min="10" max="10" width="9.28515625" style="206" bestFit="1" customWidth="1"/>
    <col min="11" max="11" width="12.7109375" style="207" hidden="1" customWidth="1"/>
    <col min="12" max="12" width="11.85546875" style="206" hidden="1" customWidth="1"/>
    <col min="13" max="13" width="12" style="206" hidden="1" customWidth="1"/>
    <col min="14" max="14" width="11.42578125" style="206" hidden="1" customWidth="1"/>
    <col min="15" max="15" width="10.28515625" style="206" hidden="1" customWidth="1"/>
    <col min="16" max="16" width="11.28515625" style="206" hidden="1" customWidth="1"/>
    <col min="17" max="17" width="10" style="206" hidden="1" customWidth="1"/>
    <col min="18" max="18" width="9.85546875" style="206" hidden="1" customWidth="1"/>
    <col min="19" max="19" width="12.28515625" style="206" hidden="1" customWidth="1"/>
    <col min="20" max="20" width="12.140625" style="206" hidden="1" customWidth="1"/>
    <col min="21" max="21" width="11.28515625" style="206" hidden="1" customWidth="1"/>
    <col min="22" max="22" width="12.140625" style="206" hidden="1" customWidth="1"/>
    <col min="23" max="23" width="11.28515625" style="206" hidden="1" customWidth="1"/>
    <col min="24" max="24" width="10.5703125" style="206" hidden="1" customWidth="1"/>
    <col min="25" max="26" width="12.140625" style="206" hidden="1" customWidth="1"/>
    <col min="27" max="27" width="11" style="206" hidden="1" customWidth="1"/>
    <col min="28" max="28" width="12.42578125" style="206" hidden="1" customWidth="1"/>
    <col min="29" max="30" width="11.28515625" style="206" hidden="1" customWidth="1"/>
    <col min="31" max="31" width="12.5703125" style="206" hidden="1" customWidth="1"/>
    <col min="32" max="32" width="9.140625" style="206"/>
    <col min="33" max="33" width="11.7109375" style="206" bestFit="1" customWidth="1"/>
    <col min="34" max="250" width="9.140625" style="206"/>
    <col min="251" max="251" width="2.140625" style="206" customWidth="1"/>
    <col min="252" max="252" width="8.7109375" style="206" customWidth="1"/>
    <col min="253" max="253" width="9.85546875" style="206" customWidth="1"/>
    <col min="254" max="254" width="1" style="206" customWidth="1"/>
    <col min="255" max="255" width="10.85546875" style="206" customWidth="1"/>
    <col min="256" max="256" width="1" style="206" customWidth="1"/>
    <col min="257" max="257" width="53.5703125" style="206" customWidth="1"/>
    <col min="258" max="259" width="22.85546875" style="206" customWidth="1"/>
    <col min="260" max="260" width="8.7109375" style="206" customWidth="1"/>
    <col min="261" max="261" width="14.140625" style="206" customWidth="1"/>
    <col min="262" max="506" width="9.140625" style="206"/>
    <col min="507" max="507" width="2.140625" style="206" customWidth="1"/>
    <col min="508" max="508" width="8.7109375" style="206" customWidth="1"/>
    <col min="509" max="509" width="9.85546875" style="206" customWidth="1"/>
    <col min="510" max="510" width="1" style="206" customWidth="1"/>
    <col min="511" max="511" width="10.85546875" style="206" customWidth="1"/>
    <col min="512" max="512" width="1" style="206" customWidth="1"/>
    <col min="513" max="513" width="53.5703125" style="206" customWidth="1"/>
    <col min="514" max="515" width="22.85546875" style="206" customWidth="1"/>
    <col min="516" max="516" width="8.7109375" style="206" customWidth="1"/>
    <col min="517" max="517" width="14.140625" style="206" customWidth="1"/>
    <col min="518" max="762" width="9.140625" style="206"/>
    <col min="763" max="763" width="2.140625" style="206" customWidth="1"/>
    <col min="764" max="764" width="8.7109375" style="206" customWidth="1"/>
    <col min="765" max="765" width="9.85546875" style="206" customWidth="1"/>
    <col min="766" max="766" width="1" style="206" customWidth="1"/>
    <col min="767" max="767" width="10.85546875" style="206" customWidth="1"/>
    <col min="768" max="768" width="1" style="206" customWidth="1"/>
    <col min="769" max="769" width="53.5703125" style="206" customWidth="1"/>
    <col min="770" max="771" width="22.85546875" style="206" customWidth="1"/>
    <col min="772" max="772" width="8.7109375" style="206" customWidth="1"/>
    <col min="773" max="773" width="14.140625" style="206" customWidth="1"/>
    <col min="774" max="1018" width="9.140625" style="206"/>
    <col min="1019" max="1019" width="2.140625" style="206" customWidth="1"/>
    <col min="1020" max="1020" width="8.7109375" style="206" customWidth="1"/>
    <col min="1021" max="1021" width="9.85546875" style="206" customWidth="1"/>
    <col min="1022" max="1022" width="1" style="206" customWidth="1"/>
    <col min="1023" max="1023" width="10.85546875" style="206" customWidth="1"/>
    <col min="1024" max="1024" width="1" style="206" customWidth="1"/>
    <col min="1025" max="1025" width="53.5703125" style="206" customWidth="1"/>
    <col min="1026" max="1027" width="22.85546875" style="206" customWidth="1"/>
    <col min="1028" max="1028" width="8.7109375" style="206" customWidth="1"/>
    <col min="1029" max="1029" width="14.140625" style="206" customWidth="1"/>
    <col min="1030" max="1274" width="9.140625" style="206"/>
    <col min="1275" max="1275" width="2.140625" style="206" customWidth="1"/>
    <col min="1276" max="1276" width="8.7109375" style="206" customWidth="1"/>
    <col min="1277" max="1277" width="9.85546875" style="206" customWidth="1"/>
    <col min="1278" max="1278" width="1" style="206" customWidth="1"/>
    <col min="1279" max="1279" width="10.85546875" style="206" customWidth="1"/>
    <col min="1280" max="1280" width="1" style="206" customWidth="1"/>
    <col min="1281" max="1281" width="53.5703125" style="206" customWidth="1"/>
    <col min="1282" max="1283" width="22.85546875" style="206" customWidth="1"/>
    <col min="1284" max="1284" width="8.7109375" style="206" customWidth="1"/>
    <col min="1285" max="1285" width="14.140625" style="206" customWidth="1"/>
    <col min="1286" max="1530" width="9.140625" style="206"/>
    <col min="1531" max="1531" width="2.140625" style="206" customWidth="1"/>
    <col min="1532" max="1532" width="8.7109375" style="206" customWidth="1"/>
    <col min="1533" max="1533" width="9.85546875" style="206" customWidth="1"/>
    <col min="1534" max="1534" width="1" style="206" customWidth="1"/>
    <col min="1535" max="1535" width="10.85546875" style="206" customWidth="1"/>
    <col min="1536" max="1536" width="1" style="206" customWidth="1"/>
    <col min="1537" max="1537" width="53.5703125" style="206" customWidth="1"/>
    <col min="1538" max="1539" width="22.85546875" style="206" customWidth="1"/>
    <col min="1540" max="1540" width="8.7109375" style="206" customWidth="1"/>
    <col min="1541" max="1541" width="14.140625" style="206" customWidth="1"/>
    <col min="1542" max="1786" width="9.140625" style="206"/>
    <col min="1787" max="1787" width="2.140625" style="206" customWidth="1"/>
    <col min="1788" max="1788" width="8.7109375" style="206" customWidth="1"/>
    <col min="1789" max="1789" width="9.85546875" style="206" customWidth="1"/>
    <col min="1790" max="1790" width="1" style="206" customWidth="1"/>
    <col min="1791" max="1791" width="10.85546875" style="206" customWidth="1"/>
    <col min="1792" max="1792" width="1" style="206" customWidth="1"/>
    <col min="1793" max="1793" width="53.5703125" style="206" customWidth="1"/>
    <col min="1794" max="1795" width="22.85546875" style="206" customWidth="1"/>
    <col min="1796" max="1796" width="8.7109375" style="206" customWidth="1"/>
    <col min="1797" max="1797" width="14.140625" style="206" customWidth="1"/>
    <col min="1798" max="2042" width="9.140625" style="206"/>
    <col min="2043" max="2043" width="2.140625" style="206" customWidth="1"/>
    <col min="2044" max="2044" width="8.7109375" style="206" customWidth="1"/>
    <col min="2045" max="2045" width="9.85546875" style="206" customWidth="1"/>
    <col min="2046" max="2046" width="1" style="206" customWidth="1"/>
    <col min="2047" max="2047" width="10.85546875" style="206" customWidth="1"/>
    <col min="2048" max="2048" width="1" style="206" customWidth="1"/>
    <col min="2049" max="2049" width="53.5703125" style="206" customWidth="1"/>
    <col min="2050" max="2051" width="22.85546875" style="206" customWidth="1"/>
    <col min="2052" max="2052" width="8.7109375" style="206" customWidth="1"/>
    <col min="2053" max="2053" width="14.140625" style="206" customWidth="1"/>
    <col min="2054" max="2298" width="9.140625" style="206"/>
    <col min="2299" max="2299" width="2.140625" style="206" customWidth="1"/>
    <col min="2300" max="2300" width="8.7109375" style="206" customWidth="1"/>
    <col min="2301" max="2301" width="9.85546875" style="206" customWidth="1"/>
    <col min="2302" max="2302" width="1" style="206" customWidth="1"/>
    <col min="2303" max="2303" width="10.85546875" style="206" customWidth="1"/>
    <col min="2304" max="2304" width="1" style="206" customWidth="1"/>
    <col min="2305" max="2305" width="53.5703125" style="206" customWidth="1"/>
    <col min="2306" max="2307" width="22.85546875" style="206" customWidth="1"/>
    <col min="2308" max="2308" width="8.7109375" style="206" customWidth="1"/>
    <col min="2309" max="2309" width="14.140625" style="206" customWidth="1"/>
    <col min="2310" max="2554" width="9.140625" style="206"/>
    <col min="2555" max="2555" width="2.140625" style="206" customWidth="1"/>
    <col min="2556" max="2556" width="8.7109375" style="206" customWidth="1"/>
    <col min="2557" max="2557" width="9.85546875" style="206" customWidth="1"/>
    <col min="2558" max="2558" width="1" style="206" customWidth="1"/>
    <col min="2559" max="2559" width="10.85546875" style="206" customWidth="1"/>
    <col min="2560" max="2560" width="1" style="206" customWidth="1"/>
    <col min="2561" max="2561" width="53.5703125" style="206" customWidth="1"/>
    <col min="2562" max="2563" width="22.85546875" style="206" customWidth="1"/>
    <col min="2564" max="2564" width="8.7109375" style="206" customWidth="1"/>
    <col min="2565" max="2565" width="14.140625" style="206" customWidth="1"/>
    <col min="2566" max="2810" width="9.140625" style="206"/>
    <col min="2811" max="2811" width="2.140625" style="206" customWidth="1"/>
    <col min="2812" max="2812" width="8.7109375" style="206" customWidth="1"/>
    <col min="2813" max="2813" width="9.85546875" style="206" customWidth="1"/>
    <col min="2814" max="2814" width="1" style="206" customWidth="1"/>
    <col min="2815" max="2815" width="10.85546875" style="206" customWidth="1"/>
    <col min="2816" max="2816" width="1" style="206" customWidth="1"/>
    <col min="2817" max="2817" width="53.5703125" style="206" customWidth="1"/>
    <col min="2818" max="2819" width="22.85546875" style="206" customWidth="1"/>
    <col min="2820" max="2820" width="8.7109375" style="206" customWidth="1"/>
    <col min="2821" max="2821" width="14.140625" style="206" customWidth="1"/>
    <col min="2822" max="3066" width="9.140625" style="206"/>
    <col min="3067" max="3067" width="2.140625" style="206" customWidth="1"/>
    <col min="3068" max="3068" width="8.7109375" style="206" customWidth="1"/>
    <col min="3069" max="3069" width="9.85546875" style="206" customWidth="1"/>
    <col min="3070" max="3070" width="1" style="206" customWidth="1"/>
    <col min="3071" max="3071" width="10.85546875" style="206" customWidth="1"/>
    <col min="3072" max="3072" width="1" style="206" customWidth="1"/>
    <col min="3073" max="3073" width="53.5703125" style="206" customWidth="1"/>
    <col min="3074" max="3075" width="22.85546875" style="206" customWidth="1"/>
    <col min="3076" max="3076" width="8.7109375" style="206" customWidth="1"/>
    <col min="3077" max="3077" width="14.140625" style="206" customWidth="1"/>
    <col min="3078" max="3322" width="9.140625" style="206"/>
    <col min="3323" max="3323" width="2.140625" style="206" customWidth="1"/>
    <col min="3324" max="3324" width="8.7109375" style="206" customWidth="1"/>
    <col min="3325" max="3325" width="9.85546875" style="206" customWidth="1"/>
    <col min="3326" max="3326" width="1" style="206" customWidth="1"/>
    <col min="3327" max="3327" width="10.85546875" style="206" customWidth="1"/>
    <col min="3328" max="3328" width="1" style="206" customWidth="1"/>
    <col min="3329" max="3329" width="53.5703125" style="206" customWidth="1"/>
    <col min="3330" max="3331" width="22.85546875" style="206" customWidth="1"/>
    <col min="3332" max="3332" width="8.7109375" style="206" customWidth="1"/>
    <col min="3333" max="3333" width="14.140625" style="206" customWidth="1"/>
    <col min="3334" max="3578" width="9.140625" style="206"/>
    <col min="3579" max="3579" width="2.140625" style="206" customWidth="1"/>
    <col min="3580" max="3580" width="8.7109375" style="206" customWidth="1"/>
    <col min="3581" max="3581" width="9.85546875" style="206" customWidth="1"/>
    <col min="3582" max="3582" width="1" style="206" customWidth="1"/>
    <col min="3583" max="3583" width="10.85546875" style="206" customWidth="1"/>
    <col min="3584" max="3584" width="1" style="206" customWidth="1"/>
    <col min="3585" max="3585" width="53.5703125" style="206" customWidth="1"/>
    <col min="3586" max="3587" width="22.85546875" style="206" customWidth="1"/>
    <col min="3588" max="3588" width="8.7109375" style="206" customWidth="1"/>
    <col min="3589" max="3589" width="14.140625" style="206" customWidth="1"/>
    <col min="3590" max="3834" width="9.140625" style="206"/>
    <col min="3835" max="3835" width="2.140625" style="206" customWidth="1"/>
    <col min="3836" max="3836" width="8.7109375" style="206" customWidth="1"/>
    <col min="3837" max="3837" width="9.85546875" style="206" customWidth="1"/>
    <col min="3838" max="3838" width="1" style="206" customWidth="1"/>
    <col min="3839" max="3839" width="10.85546875" style="206" customWidth="1"/>
    <col min="3840" max="3840" width="1" style="206" customWidth="1"/>
    <col min="3841" max="3841" width="53.5703125" style="206" customWidth="1"/>
    <col min="3842" max="3843" width="22.85546875" style="206" customWidth="1"/>
    <col min="3844" max="3844" width="8.7109375" style="206" customWidth="1"/>
    <col min="3845" max="3845" width="14.140625" style="206" customWidth="1"/>
    <col min="3846" max="4090" width="9.140625" style="206"/>
    <col min="4091" max="4091" width="2.140625" style="206" customWidth="1"/>
    <col min="4092" max="4092" width="8.7109375" style="206" customWidth="1"/>
    <col min="4093" max="4093" width="9.85546875" style="206" customWidth="1"/>
    <col min="4094" max="4094" width="1" style="206" customWidth="1"/>
    <col min="4095" max="4095" width="10.85546875" style="206" customWidth="1"/>
    <col min="4096" max="4096" width="1" style="206" customWidth="1"/>
    <col min="4097" max="4097" width="53.5703125" style="206" customWidth="1"/>
    <col min="4098" max="4099" width="22.85546875" style="206" customWidth="1"/>
    <col min="4100" max="4100" width="8.7109375" style="206" customWidth="1"/>
    <col min="4101" max="4101" width="14.140625" style="206" customWidth="1"/>
    <col min="4102" max="4346" width="9.140625" style="206"/>
    <col min="4347" max="4347" width="2.140625" style="206" customWidth="1"/>
    <col min="4348" max="4348" width="8.7109375" style="206" customWidth="1"/>
    <col min="4349" max="4349" width="9.85546875" style="206" customWidth="1"/>
    <col min="4350" max="4350" width="1" style="206" customWidth="1"/>
    <col min="4351" max="4351" width="10.85546875" style="206" customWidth="1"/>
    <col min="4352" max="4352" width="1" style="206" customWidth="1"/>
    <col min="4353" max="4353" width="53.5703125" style="206" customWidth="1"/>
    <col min="4354" max="4355" width="22.85546875" style="206" customWidth="1"/>
    <col min="4356" max="4356" width="8.7109375" style="206" customWidth="1"/>
    <col min="4357" max="4357" width="14.140625" style="206" customWidth="1"/>
    <col min="4358" max="4602" width="9.140625" style="206"/>
    <col min="4603" max="4603" width="2.140625" style="206" customWidth="1"/>
    <col min="4604" max="4604" width="8.7109375" style="206" customWidth="1"/>
    <col min="4605" max="4605" width="9.85546875" style="206" customWidth="1"/>
    <col min="4606" max="4606" width="1" style="206" customWidth="1"/>
    <col min="4607" max="4607" width="10.85546875" style="206" customWidth="1"/>
    <col min="4608" max="4608" width="1" style="206" customWidth="1"/>
    <col min="4609" max="4609" width="53.5703125" style="206" customWidth="1"/>
    <col min="4610" max="4611" width="22.85546875" style="206" customWidth="1"/>
    <col min="4612" max="4612" width="8.7109375" style="206" customWidth="1"/>
    <col min="4613" max="4613" width="14.140625" style="206" customWidth="1"/>
    <col min="4614" max="4858" width="9.140625" style="206"/>
    <col min="4859" max="4859" width="2.140625" style="206" customWidth="1"/>
    <col min="4860" max="4860" width="8.7109375" style="206" customWidth="1"/>
    <col min="4861" max="4861" width="9.85546875" style="206" customWidth="1"/>
    <col min="4862" max="4862" width="1" style="206" customWidth="1"/>
    <col min="4863" max="4863" width="10.85546875" style="206" customWidth="1"/>
    <col min="4864" max="4864" width="1" style="206" customWidth="1"/>
    <col min="4865" max="4865" width="53.5703125" style="206" customWidth="1"/>
    <col min="4866" max="4867" width="22.85546875" style="206" customWidth="1"/>
    <col min="4868" max="4868" width="8.7109375" style="206" customWidth="1"/>
    <col min="4869" max="4869" width="14.140625" style="206" customWidth="1"/>
    <col min="4870" max="5114" width="9.140625" style="206"/>
    <col min="5115" max="5115" width="2.140625" style="206" customWidth="1"/>
    <col min="5116" max="5116" width="8.7109375" style="206" customWidth="1"/>
    <col min="5117" max="5117" width="9.85546875" style="206" customWidth="1"/>
    <col min="5118" max="5118" width="1" style="206" customWidth="1"/>
    <col min="5119" max="5119" width="10.85546875" style="206" customWidth="1"/>
    <col min="5120" max="5120" width="1" style="206" customWidth="1"/>
    <col min="5121" max="5121" width="53.5703125" style="206" customWidth="1"/>
    <col min="5122" max="5123" width="22.85546875" style="206" customWidth="1"/>
    <col min="5124" max="5124" width="8.7109375" style="206" customWidth="1"/>
    <col min="5125" max="5125" width="14.140625" style="206" customWidth="1"/>
    <col min="5126" max="5370" width="9.140625" style="206"/>
    <col min="5371" max="5371" width="2.140625" style="206" customWidth="1"/>
    <col min="5372" max="5372" width="8.7109375" style="206" customWidth="1"/>
    <col min="5373" max="5373" width="9.85546875" style="206" customWidth="1"/>
    <col min="5374" max="5374" width="1" style="206" customWidth="1"/>
    <col min="5375" max="5375" width="10.85546875" style="206" customWidth="1"/>
    <col min="5376" max="5376" width="1" style="206" customWidth="1"/>
    <col min="5377" max="5377" width="53.5703125" style="206" customWidth="1"/>
    <col min="5378" max="5379" width="22.85546875" style="206" customWidth="1"/>
    <col min="5380" max="5380" width="8.7109375" style="206" customWidth="1"/>
    <col min="5381" max="5381" width="14.140625" style="206" customWidth="1"/>
    <col min="5382" max="5626" width="9.140625" style="206"/>
    <col min="5627" max="5627" width="2.140625" style="206" customWidth="1"/>
    <col min="5628" max="5628" width="8.7109375" style="206" customWidth="1"/>
    <col min="5629" max="5629" width="9.85546875" style="206" customWidth="1"/>
    <col min="5630" max="5630" width="1" style="206" customWidth="1"/>
    <col min="5631" max="5631" width="10.85546875" style="206" customWidth="1"/>
    <col min="5632" max="5632" width="1" style="206" customWidth="1"/>
    <col min="5633" max="5633" width="53.5703125" style="206" customWidth="1"/>
    <col min="5634" max="5635" width="22.85546875" style="206" customWidth="1"/>
    <col min="5636" max="5636" width="8.7109375" style="206" customWidth="1"/>
    <col min="5637" max="5637" width="14.140625" style="206" customWidth="1"/>
    <col min="5638" max="5882" width="9.140625" style="206"/>
    <col min="5883" max="5883" width="2.140625" style="206" customWidth="1"/>
    <col min="5884" max="5884" width="8.7109375" style="206" customWidth="1"/>
    <col min="5885" max="5885" width="9.85546875" style="206" customWidth="1"/>
    <col min="5886" max="5886" width="1" style="206" customWidth="1"/>
    <col min="5887" max="5887" width="10.85546875" style="206" customWidth="1"/>
    <col min="5888" max="5888" width="1" style="206" customWidth="1"/>
    <col min="5889" max="5889" width="53.5703125" style="206" customWidth="1"/>
    <col min="5890" max="5891" width="22.85546875" style="206" customWidth="1"/>
    <col min="5892" max="5892" width="8.7109375" style="206" customWidth="1"/>
    <col min="5893" max="5893" width="14.140625" style="206" customWidth="1"/>
    <col min="5894" max="6138" width="9.140625" style="206"/>
    <col min="6139" max="6139" width="2.140625" style="206" customWidth="1"/>
    <col min="6140" max="6140" width="8.7109375" style="206" customWidth="1"/>
    <col min="6141" max="6141" width="9.85546875" style="206" customWidth="1"/>
    <col min="6142" max="6142" width="1" style="206" customWidth="1"/>
    <col min="6143" max="6143" width="10.85546875" style="206" customWidth="1"/>
    <col min="6144" max="6144" width="1" style="206" customWidth="1"/>
    <col min="6145" max="6145" width="53.5703125" style="206" customWidth="1"/>
    <col min="6146" max="6147" width="22.85546875" style="206" customWidth="1"/>
    <col min="6148" max="6148" width="8.7109375" style="206" customWidth="1"/>
    <col min="6149" max="6149" width="14.140625" style="206" customWidth="1"/>
    <col min="6150" max="6394" width="9.140625" style="206"/>
    <col min="6395" max="6395" width="2.140625" style="206" customWidth="1"/>
    <col min="6396" max="6396" width="8.7109375" style="206" customWidth="1"/>
    <col min="6397" max="6397" width="9.85546875" style="206" customWidth="1"/>
    <col min="6398" max="6398" width="1" style="206" customWidth="1"/>
    <col min="6399" max="6399" width="10.85546875" style="206" customWidth="1"/>
    <col min="6400" max="6400" width="1" style="206" customWidth="1"/>
    <col min="6401" max="6401" width="53.5703125" style="206" customWidth="1"/>
    <col min="6402" max="6403" width="22.85546875" style="206" customWidth="1"/>
    <col min="6404" max="6404" width="8.7109375" style="206" customWidth="1"/>
    <col min="6405" max="6405" width="14.140625" style="206" customWidth="1"/>
    <col min="6406" max="6650" width="9.140625" style="206"/>
    <col min="6651" max="6651" width="2.140625" style="206" customWidth="1"/>
    <col min="6652" max="6652" width="8.7109375" style="206" customWidth="1"/>
    <col min="6653" max="6653" width="9.85546875" style="206" customWidth="1"/>
    <col min="6654" max="6654" width="1" style="206" customWidth="1"/>
    <col min="6655" max="6655" width="10.85546875" style="206" customWidth="1"/>
    <col min="6656" max="6656" width="1" style="206" customWidth="1"/>
    <col min="6657" max="6657" width="53.5703125" style="206" customWidth="1"/>
    <col min="6658" max="6659" width="22.85546875" style="206" customWidth="1"/>
    <col min="6660" max="6660" width="8.7109375" style="206" customWidth="1"/>
    <col min="6661" max="6661" width="14.140625" style="206" customWidth="1"/>
    <col min="6662" max="6906" width="9.140625" style="206"/>
    <col min="6907" max="6907" width="2.140625" style="206" customWidth="1"/>
    <col min="6908" max="6908" width="8.7109375" style="206" customWidth="1"/>
    <col min="6909" max="6909" width="9.85546875" style="206" customWidth="1"/>
    <col min="6910" max="6910" width="1" style="206" customWidth="1"/>
    <col min="6911" max="6911" width="10.85546875" style="206" customWidth="1"/>
    <col min="6912" max="6912" width="1" style="206" customWidth="1"/>
    <col min="6913" max="6913" width="53.5703125" style="206" customWidth="1"/>
    <col min="6914" max="6915" width="22.85546875" style="206" customWidth="1"/>
    <col min="6916" max="6916" width="8.7109375" style="206" customWidth="1"/>
    <col min="6917" max="6917" width="14.140625" style="206" customWidth="1"/>
    <col min="6918" max="7162" width="9.140625" style="206"/>
    <col min="7163" max="7163" width="2.140625" style="206" customWidth="1"/>
    <col min="7164" max="7164" width="8.7109375" style="206" customWidth="1"/>
    <col min="7165" max="7165" width="9.85546875" style="206" customWidth="1"/>
    <col min="7166" max="7166" width="1" style="206" customWidth="1"/>
    <col min="7167" max="7167" width="10.85546875" style="206" customWidth="1"/>
    <col min="7168" max="7168" width="1" style="206" customWidth="1"/>
    <col min="7169" max="7169" width="53.5703125" style="206" customWidth="1"/>
    <col min="7170" max="7171" width="22.85546875" style="206" customWidth="1"/>
    <col min="7172" max="7172" width="8.7109375" style="206" customWidth="1"/>
    <col min="7173" max="7173" width="14.140625" style="206" customWidth="1"/>
    <col min="7174" max="7418" width="9.140625" style="206"/>
    <col min="7419" max="7419" width="2.140625" style="206" customWidth="1"/>
    <col min="7420" max="7420" width="8.7109375" style="206" customWidth="1"/>
    <col min="7421" max="7421" width="9.85546875" style="206" customWidth="1"/>
    <col min="7422" max="7422" width="1" style="206" customWidth="1"/>
    <col min="7423" max="7423" width="10.85546875" style="206" customWidth="1"/>
    <col min="7424" max="7424" width="1" style="206" customWidth="1"/>
    <col min="7425" max="7425" width="53.5703125" style="206" customWidth="1"/>
    <col min="7426" max="7427" width="22.85546875" style="206" customWidth="1"/>
    <col min="7428" max="7428" width="8.7109375" style="206" customWidth="1"/>
    <col min="7429" max="7429" width="14.140625" style="206" customWidth="1"/>
    <col min="7430" max="7674" width="9.140625" style="206"/>
    <col min="7675" max="7675" width="2.140625" style="206" customWidth="1"/>
    <col min="7676" max="7676" width="8.7109375" style="206" customWidth="1"/>
    <col min="7677" max="7677" width="9.85546875" style="206" customWidth="1"/>
    <col min="7678" max="7678" width="1" style="206" customWidth="1"/>
    <col min="7679" max="7679" width="10.85546875" style="206" customWidth="1"/>
    <col min="7680" max="7680" width="1" style="206" customWidth="1"/>
    <col min="7681" max="7681" width="53.5703125" style="206" customWidth="1"/>
    <col min="7682" max="7683" width="22.85546875" style="206" customWidth="1"/>
    <col min="7684" max="7684" width="8.7109375" style="206" customWidth="1"/>
    <col min="7685" max="7685" width="14.140625" style="206" customWidth="1"/>
    <col min="7686" max="7930" width="9.140625" style="206"/>
    <col min="7931" max="7931" width="2.140625" style="206" customWidth="1"/>
    <col min="7932" max="7932" width="8.7109375" style="206" customWidth="1"/>
    <col min="7933" max="7933" width="9.85546875" style="206" customWidth="1"/>
    <col min="7934" max="7934" width="1" style="206" customWidth="1"/>
    <col min="7935" max="7935" width="10.85546875" style="206" customWidth="1"/>
    <col min="7936" max="7936" width="1" style="206" customWidth="1"/>
    <col min="7937" max="7937" width="53.5703125" style="206" customWidth="1"/>
    <col min="7938" max="7939" width="22.85546875" style="206" customWidth="1"/>
    <col min="7940" max="7940" width="8.7109375" style="206" customWidth="1"/>
    <col min="7941" max="7941" width="14.140625" style="206" customWidth="1"/>
    <col min="7942" max="8186" width="9.140625" style="206"/>
    <col min="8187" max="8187" width="2.140625" style="206" customWidth="1"/>
    <col min="8188" max="8188" width="8.7109375" style="206" customWidth="1"/>
    <col min="8189" max="8189" width="9.85546875" style="206" customWidth="1"/>
    <col min="8190" max="8190" width="1" style="206" customWidth="1"/>
    <col min="8191" max="8191" width="10.85546875" style="206" customWidth="1"/>
    <col min="8192" max="8192" width="1" style="206" customWidth="1"/>
    <col min="8193" max="8193" width="53.5703125" style="206" customWidth="1"/>
    <col min="8194" max="8195" width="22.85546875" style="206" customWidth="1"/>
    <col min="8196" max="8196" width="8.7109375" style="206" customWidth="1"/>
    <col min="8197" max="8197" width="14.140625" style="206" customWidth="1"/>
    <col min="8198" max="8442" width="9.140625" style="206"/>
    <col min="8443" max="8443" width="2.140625" style="206" customWidth="1"/>
    <col min="8444" max="8444" width="8.7109375" style="206" customWidth="1"/>
    <col min="8445" max="8445" width="9.85546875" style="206" customWidth="1"/>
    <col min="8446" max="8446" width="1" style="206" customWidth="1"/>
    <col min="8447" max="8447" width="10.85546875" style="206" customWidth="1"/>
    <col min="8448" max="8448" width="1" style="206" customWidth="1"/>
    <col min="8449" max="8449" width="53.5703125" style="206" customWidth="1"/>
    <col min="8450" max="8451" width="22.85546875" style="206" customWidth="1"/>
    <col min="8452" max="8452" width="8.7109375" style="206" customWidth="1"/>
    <col min="8453" max="8453" width="14.140625" style="206" customWidth="1"/>
    <col min="8454" max="8698" width="9.140625" style="206"/>
    <col min="8699" max="8699" width="2.140625" style="206" customWidth="1"/>
    <col min="8700" max="8700" width="8.7109375" style="206" customWidth="1"/>
    <col min="8701" max="8701" width="9.85546875" style="206" customWidth="1"/>
    <col min="8702" max="8702" width="1" style="206" customWidth="1"/>
    <col min="8703" max="8703" width="10.85546875" style="206" customWidth="1"/>
    <col min="8704" max="8704" width="1" style="206" customWidth="1"/>
    <col min="8705" max="8705" width="53.5703125" style="206" customWidth="1"/>
    <col min="8706" max="8707" width="22.85546875" style="206" customWidth="1"/>
    <col min="8708" max="8708" width="8.7109375" style="206" customWidth="1"/>
    <col min="8709" max="8709" width="14.140625" style="206" customWidth="1"/>
    <col min="8710" max="8954" width="9.140625" style="206"/>
    <col min="8955" max="8955" width="2.140625" style="206" customWidth="1"/>
    <col min="8956" max="8956" width="8.7109375" style="206" customWidth="1"/>
    <col min="8957" max="8957" width="9.85546875" style="206" customWidth="1"/>
    <col min="8958" max="8958" width="1" style="206" customWidth="1"/>
    <col min="8959" max="8959" width="10.85546875" style="206" customWidth="1"/>
    <col min="8960" max="8960" width="1" style="206" customWidth="1"/>
    <col min="8961" max="8961" width="53.5703125" style="206" customWidth="1"/>
    <col min="8962" max="8963" width="22.85546875" style="206" customWidth="1"/>
    <col min="8964" max="8964" width="8.7109375" style="206" customWidth="1"/>
    <col min="8965" max="8965" width="14.140625" style="206" customWidth="1"/>
    <col min="8966" max="9210" width="9.140625" style="206"/>
    <col min="9211" max="9211" width="2.140625" style="206" customWidth="1"/>
    <col min="9212" max="9212" width="8.7109375" style="206" customWidth="1"/>
    <col min="9213" max="9213" width="9.85546875" style="206" customWidth="1"/>
    <col min="9214" max="9214" width="1" style="206" customWidth="1"/>
    <col min="9215" max="9215" width="10.85546875" style="206" customWidth="1"/>
    <col min="9216" max="9216" width="1" style="206" customWidth="1"/>
    <col min="9217" max="9217" width="53.5703125" style="206" customWidth="1"/>
    <col min="9218" max="9219" width="22.85546875" style="206" customWidth="1"/>
    <col min="9220" max="9220" width="8.7109375" style="206" customWidth="1"/>
    <col min="9221" max="9221" width="14.140625" style="206" customWidth="1"/>
    <col min="9222" max="9466" width="9.140625" style="206"/>
    <col min="9467" max="9467" width="2.140625" style="206" customWidth="1"/>
    <col min="9468" max="9468" width="8.7109375" style="206" customWidth="1"/>
    <col min="9469" max="9469" width="9.85546875" style="206" customWidth="1"/>
    <col min="9470" max="9470" width="1" style="206" customWidth="1"/>
    <col min="9471" max="9471" width="10.85546875" style="206" customWidth="1"/>
    <col min="9472" max="9472" width="1" style="206" customWidth="1"/>
    <col min="9473" max="9473" width="53.5703125" style="206" customWidth="1"/>
    <col min="9474" max="9475" width="22.85546875" style="206" customWidth="1"/>
    <col min="9476" max="9476" width="8.7109375" style="206" customWidth="1"/>
    <col min="9477" max="9477" width="14.140625" style="206" customWidth="1"/>
    <col min="9478" max="9722" width="9.140625" style="206"/>
    <col min="9723" max="9723" width="2.140625" style="206" customWidth="1"/>
    <col min="9724" max="9724" width="8.7109375" style="206" customWidth="1"/>
    <col min="9725" max="9725" width="9.85546875" style="206" customWidth="1"/>
    <col min="9726" max="9726" width="1" style="206" customWidth="1"/>
    <col min="9727" max="9727" width="10.85546875" style="206" customWidth="1"/>
    <col min="9728" max="9728" width="1" style="206" customWidth="1"/>
    <col min="9729" max="9729" width="53.5703125" style="206" customWidth="1"/>
    <col min="9730" max="9731" width="22.85546875" style="206" customWidth="1"/>
    <col min="9732" max="9732" width="8.7109375" style="206" customWidth="1"/>
    <col min="9733" max="9733" width="14.140625" style="206" customWidth="1"/>
    <col min="9734" max="9978" width="9.140625" style="206"/>
    <col min="9979" max="9979" width="2.140625" style="206" customWidth="1"/>
    <col min="9980" max="9980" width="8.7109375" style="206" customWidth="1"/>
    <col min="9981" max="9981" width="9.85546875" style="206" customWidth="1"/>
    <col min="9982" max="9982" width="1" style="206" customWidth="1"/>
    <col min="9983" max="9983" width="10.85546875" style="206" customWidth="1"/>
    <col min="9984" max="9984" width="1" style="206" customWidth="1"/>
    <col min="9985" max="9985" width="53.5703125" style="206" customWidth="1"/>
    <col min="9986" max="9987" width="22.85546875" style="206" customWidth="1"/>
    <col min="9988" max="9988" width="8.7109375" style="206" customWidth="1"/>
    <col min="9989" max="9989" width="14.140625" style="206" customWidth="1"/>
    <col min="9990" max="10234" width="9.140625" style="206"/>
    <col min="10235" max="10235" width="2.140625" style="206" customWidth="1"/>
    <col min="10236" max="10236" width="8.7109375" style="206" customWidth="1"/>
    <col min="10237" max="10237" width="9.85546875" style="206" customWidth="1"/>
    <col min="10238" max="10238" width="1" style="206" customWidth="1"/>
    <col min="10239" max="10239" width="10.85546875" style="206" customWidth="1"/>
    <col min="10240" max="10240" width="1" style="206" customWidth="1"/>
    <col min="10241" max="10241" width="53.5703125" style="206" customWidth="1"/>
    <col min="10242" max="10243" width="22.85546875" style="206" customWidth="1"/>
    <col min="10244" max="10244" width="8.7109375" style="206" customWidth="1"/>
    <col min="10245" max="10245" width="14.140625" style="206" customWidth="1"/>
    <col min="10246" max="10490" width="9.140625" style="206"/>
    <col min="10491" max="10491" width="2.140625" style="206" customWidth="1"/>
    <col min="10492" max="10492" width="8.7109375" style="206" customWidth="1"/>
    <col min="10493" max="10493" width="9.85546875" style="206" customWidth="1"/>
    <col min="10494" max="10494" width="1" style="206" customWidth="1"/>
    <col min="10495" max="10495" width="10.85546875" style="206" customWidth="1"/>
    <col min="10496" max="10496" width="1" style="206" customWidth="1"/>
    <col min="10497" max="10497" width="53.5703125" style="206" customWidth="1"/>
    <col min="10498" max="10499" width="22.85546875" style="206" customWidth="1"/>
    <col min="10500" max="10500" width="8.7109375" style="206" customWidth="1"/>
    <col min="10501" max="10501" width="14.140625" style="206" customWidth="1"/>
    <col min="10502" max="10746" width="9.140625" style="206"/>
    <col min="10747" max="10747" width="2.140625" style="206" customWidth="1"/>
    <col min="10748" max="10748" width="8.7109375" style="206" customWidth="1"/>
    <col min="10749" max="10749" width="9.85546875" style="206" customWidth="1"/>
    <col min="10750" max="10750" width="1" style="206" customWidth="1"/>
    <col min="10751" max="10751" width="10.85546875" style="206" customWidth="1"/>
    <col min="10752" max="10752" width="1" style="206" customWidth="1"/>
    <col min="10753" max="10753" width="53.5703125" style="206" customWidth="1"/>
    <col min="10754" max="10755" width="22.85546875" style="206" customWidth="1"/>
    <col min="10756" max="10756" width="8.7109375" style="206" customWidth="1"/>
    <col min="10757" max="10757" width="14.140625" style="206" customWidth="1"/>
    <col min="10758" max="11002" width="9.140625" style="206"/>
    <col min="11003" max="11003" width="2.140625" style="206" customWidth="1"/>
    <col min="11004" max="11004" width="8.7109375" style="206" customWidth="1"/>
    <col min="11005" max="11005" width="9.85546875" style="206" customWidth="1"/>
    <col min="11006" max="11006" width="1" style="206" customWidth="1"/>
    <col min="11007" max="11007" width="10.85546875" style="206" customWidth="1"/>
    <col min="11008" max="11008" width="1" style="206" customWidth="1"/>
    <col min="11009" max="11009" width="53.5703125" style="206" customWidth="1"/>
    <col min="11010" max="11011" width="22.85546875" style="206" customWidth="1"/>
    <col min="11012" max="11012" width="8.7109375" style="206" customWidth="1"/>
    <col min="11013" max="11013" width="14.140625" style="206" customWidth="1"/>
    <col min="11014" max="11258" width="9.140625" style="206"/>
    <col min="11259" max="11259" width="2.140625" style="206" customWidth="1"/>
    <col min="11260" max="11260" width="8.7109375" style="206" customWidth="1"/>
    <col min="11261" max="11261" width="9.85546875" style="206" customWidth="1"/>
    <col min="11262" max="11262" width="1" style="206" customWidth="1"/>
    <col min="11263" max="11263" width="10.85546875" style="206" customWidth="1"/>
    <col min="11264" max="11264" width="1" style="206" customWidth="1"/>
    <col min="11265" max="11265" width="53.5703125" style="206" customWidth="1"/>
    <col min="11266" max="11267" width="22.85546875" style="206" customWidth="1"/>
    <col min="11268" max="11268" width="8.7109375" style="206" customWidth="1"/>
    <col min="11269" max="11269" width="14.140625" style="206" customWidth="1"/>
    <col min="11270" max="11514" width="9.140625" style="206"/>
    <col min="11515" max="11515" width="2.140625" style="206" customWidth="1"/>
    <col min="11516" max="11516" width="8.7109375" style="206" customWidth="1"/>
    <col min="11517" max="11517" width="9.85546875" style="206" customWidth="1"/>
    <col min="11518" max="11518" width="1" style="206" customWidth="1"/>
    <col min="11519" max="11519" width="10.85546875" style="206" customWidth="1"/>
    <col min="11520" max="11520" width="1" style="206" customWidth="1"/>
    <col min="11521" max="11521" width="53.5703125" style="206" customWidth="1"/>
    <col min="11522" max="11523" width="22.85546875" style="206" customWidth="1"/>
    <col min="11524" max="11524" width="8.7109375" style="206" customWidth="1"/>
    <col min="11525" max="11525" width="14.140625" style="206" customWidth="1"/>
    <col min="11526" max="11770" width="9.140625" style="206"/>
    <col min="11771" max="11771" width="2.140625" style="206" customWidth="1"/>
    <col min="11772" max="11772" width="8.7109375" style="206" customWidth="1"/>
    <col min="11773" max="11773" width="9.85546875" style="206" customWidth="1"/>
    <col min="11774" max="11774" width="1" style="206" customWidth="1"/>
    <col min="11775" max="11775" width="10.85546875" style="206" customWidth="1"/>
    <col min="11776" max="11776" width="1" style="206" customWidth="1"/>
    <col min="11777" max="11777" width="53.5703125" style="206" customWidth="1"/>
    <col min="11778" max="11779" width="22.85546875" style="206" customWidth="1"/>
    <col min="11780" max="11780" width="8.7109375" style="206" customWidth="1"/>
    <col min="11781" max="11781" width="14.140625" style="206" customWidth="1"/>
    <col min="11782" max="12026" width="9.140625" style="206"/>
    <col min="12027" max="12027" width="2.140625" style="206" customWidth="1"/>
    <col min="12028" max="12028" width="8.7109375" style="206" customWidth="1"/>
    <col min="12029" max="12029" width="9.85546875" style="206" customWidth="1"/>
    <col min="12030" max="12030" width="1" style="206" customWidth="1"/>
    <col min="12031" max="12031" width="10.85546875" style="206" customWidth="1"/>
    <col min="12032" max="12032" width="1" style="206" customWidth="1"/>
    <col min="12033" max="12033" width="53.5703125" style="206" customWidth="1"/>
    <col min="12034" max="12035" width="22.85546875" style="206" customWidth="1"/>
    <col min="12036" max="12036" width="8.7109375" style="206" customWidth="1"/>
    <col min="12037" max="12037" width="14.140625" style="206" customWidth="1"/>
    <col min="12038" max="12282" width="9.140625" style="206"/>
    <col min="12283" max="12283" width="2.140625" style="206" customWidth="1"/>
    <col min="12284" max="12284" width="8.7109375" style="206" customWidth="1"/>
    <col min="12285" max="12285" width="9.85546875" style="206" customWidth="1"/>
    <col min="12286" max="12286" width="1" style="206" customWidth="1"/>
    <col min="12287" max="12287" width="10.85546875" style="206" customWidth="1"/>
    <col min="12288" max="12288" width="1" style="206" customWidth="1"/>
    <col min="12289" max="12289" width="53.5703125" style="206" customWidth="1"/>
    <col min="12290" max="12291" width="22.85546875" style="206" customWidth="1"/>
    <col min="12292" max="12292" width="8.7109375" style="206" customWidth="1"/>
    <col min="12293" max="12293" width="14.140625" style="206" customWidth="1"/>
    <col min="12294" max="12538" width="9.140625" style="206"/>
    <col min="12539" max="12539" width="2.140625" style="206" customWidth="1"/>
    <col min="12540" max="12540" width="8.7109375" style="206" customWidth="1"/>
    <col min="12541" max="12541" width="9.85546875" style="206" customWidth="1"/>
    <col min="12542" max="12542" width="1" style="206" customWidth="1"/>
    <col min="12543" max="12543" width="10.85546875" style="206" customWidth="1"/>
    <col min="12544" max="12544" width="1" style="206" customWidth="1"/>
    <col min="12545" max="12545" width="53.5703125" style="206" customWidth="1"/>
    <col min="12546" max="12547" width="22.85546875" style="206" customWidth="1"/>
    <col min="12548" max="12548" width="8.7109375" style="206" customWidth="1"/>
    <col min="12549" max="12549" width="14.140625" style="206" customWidth="1"/>
    <col min="12550" max="12794" width="9.140625" style="206"/>
    <col min="12795" max="12795" width="2.140625" style="206" customWidth="1"/>
    <col min="12796" max="12796" width="8.7109375" style="206" customWidth="1"/>
    <col min="12797" max="12797" width="9.85546875" style="206" customWidth="1"/>
    <col min="12798" max="12798" width="1" style="206" customWidth="1"/>
    <col min="12799" max="12799" width="10.85546875" style="206" customWidth="1"/>
    <col min="12800" max="12800" width="1" style="206" customWidth="1"/>
    <col min="12801" max="12801" width="53.5703125" style="206" customWidth="1"/>
    <col min="12802" max="12803" width="22.85546875" style="206" customWidth="1"/>
    <col min="12804" max="12804" width="8.7109375" style="206" customWidth="1"/>
    <col min="12805" max="12805" width="14.140625" style="206" customWidth="1"/>
    <col min="12806" max="13050" width="9.140625" style="206"/>
    <col min="13051" max="13051" width="2.140625" style="206" customWidth="1"/>
    <col min="13052" max="13052" width="8.7109375" style="206" customWidth="1"/>
    <col min="13053" max="13053" width="9.85546875" style="206" customWidth="1"/>
    <col min="13054" max="13054" width="1" style="206" customWidth="1"/>
    <col min="13055" max="13055" width="10.85546875" style="206" customWidth="1"/>
    <col min="13056" max="13056" width="1" style="206" customWidth="1"/>
    <col min="13057" max="13057" width="53.5703125" style="206" customWidth="1"/>
    <col min="13058" max="13059" width="22.85546875" style="206" customWidth="1"/>
    <col min="13060" max="13060" width="8.7109375" style="206" customWidth="1"/>
    <col min="13061" max="13061" width="14.140625" style="206" customWidth="1"/>
    <col min="13062" max="13306" width="9.140625" style="206"/>
    <col min="13307" max="13307" width="2.140625" style="206" customWidth="1"/>
    <col min="13308" max="13308" width="8.7109375" style="206" customWidth="1"/>
    <col min="13309" max="13309" width="9.85546875" style="206" customWidth="1"/>
    <col min="13310" max="13310" width="1" style="206" customWidth="1"/>
    <col min="13311" max="13311" width="10.85546875" style="206" customWidth="1"/>
    <col min="13312" max="13312" width="1" style="206" customWidth="1"/>
    <col min="13313" max="13313" width="53.5703125" style="206" customWidth="1"/>
    <col min="13314" max="13315" width="22.85546875" style="206" customWidth="1"/>
    <col min="13316" max="13316" width="8.7109375" style="206" customWidth="1"/>
    <col min="13317" max="13317" width="14.140625" style="206" customWidth="1"/>
    <col min="13318" max="13562" width="9.140625" style="206"/>
    <col min="13563" max="13563" width="2.140625" style="206" customWidth="1"/>
    <col min="13564" max="13564" width="8.7109375" style="206" customWidth="1"/>
    <col min="13565" max="13565" width="9.85546875" style="206" customWidth="1"/>
    <col min="13566" max="13566" width="1" style="206" customWidth="1"/>
    <col min="13567" max="13567" width="10.85546875" style="206" customWidth="1"/>
    <col min="13568" max="13568" width="1" style="206" customWidth="1"/>
    <col min="13569" max="13569" width="53.5703125" style="206" customWidth="1"/>
    <col min="13570" max="13571" width="22.85546875" style="206" customWidth="1"/>
    <col min="13572" max="13572" width="8.7109375" style="206" customWidth="1"/>
    <col min="13573" max="13573" width="14.140625" style="206" customWidth="1"/>
    <col min="13574" max="13818" width="9.140625" style="206"/>
    <col min="13819" max="13819" width="2.140625" style="206" customWidth="1"/>
    <col min="13820" max="13820" width="8.7109375" style="206" customWidth="1"/>
    <col min="13821" max="13821" width="9.85546875" style="206" customWidth="1"/>
    <col min="13822" max="13822" width="1" style="206" customWidth="1"/>
    <col min="13823" max="13823" width="10.85546875" style="206" customWidth="1"/>
    <col min="13824" max="13824" width="1" style="206" customWidth="1"/>
    <col min="13825" max="13825" width="53.5703125" style="206" customWidth="1"/>
    <col min="13826" max="13827" width="22.85546875" style="206" customWidth="1"/>
    <col min="13828" max="13828" width="8.7109375" style="206" customWidth="1"/>
    <col min="13829" max="13829" width="14.140625" style="206" customWidth="1"/>
    <col min="13830" max="14074" width="9.140625" style="206"/>
    <col min="14075" max="14075" width="2.140625" style="206" customWidth="1"/>
    <col min="14076" max="14076" width="8.7109375" style="206" customWidth="1"/>
    <col min="14077" max="14077" width="9.85546875" style="206" customWidth="1"/>
    <col min="14078" max="14078" width="1" style="206" customWidth="1"/>
    <col min="14079" max="14079" width="10.85546875" style="206" customWidth="1"/>
    <col min="14080" max="14080" width="1" style="206" customWidth="1"/>
    <col min="14081" max="14081" width="53.5703125" style="206" customWidth="1"/>
    <col min="14082" max="14083" width="22.85546875" style="206" customWidth="1"/>
    <col min="14084" max="14084" width="8.7109375" style="206" customWidth="1"/>
    <col min="14085" max="14085" width="14.140625" style="206" customWidth="1"/>
    <col min="14086" max="14330" width="9.140625" style="206"/>
    <col min="14331" max="14331" width="2.140625" style="206" customWidth="1"/>
    <col min="14332" max="14332" width="8.7109375" style="206" customWidth="1"/>
    <col min="14333" max="14333" width="9.85546875" style="206" customWidth="1"/>
    <col min="14334" max="14334" width="1" style="206" customWidth="1"/>
    <col min="14335" max="14335" width="10.85546875" style="206" customWidth="1"/>
    <col min="14336" max="14336" width="1" style="206" customWidth="1"/>
    <col min="14337" max="14337" width="53.5703125" style="206" customWidth="1"/>
    <col min="14338" max="14339" width="22.85546875" style="206" customWidth="1"/>
    <col min="14340" max="14340" width="8.7109375" style="206" customWidth="1"/>
    <col min="14341" max="14341" width="14.140625" style="206" customWidth="1"/>
    <col min="14342" max="14586" width="9.140625" style="206"/>
    <col min="14587" max="14587" width="2.140625" style="206" customWidth="1"/>
    <col min="14588" max="14588" width="8.7109375" style="206" customWidth="1"/>
    <col min="14589" max="14589" width="9.85546875" style="206" customWidth="1"/>
    <col min="14590" max="14590" width="1" style="206" customWidth="1"/>
    <col min="14591" max="14591" width="10.85546875" style="206" customWidth="1"/>
    <col min="14592" max="14592" width="1" style="206" customWidth="1"/>
    <col min="14593" max="14593" width="53.5703125" style="206" customWidth="1"/>
    <col min="14594" max="14595" width="22.85546875" style="206" customWidth="1"/>
    <col min="14596" max="14596" width="8.7109375" style="206" customWidth="1"/>
    <col min="14597" max="14597" width="14.140625" style="206" customWidth="1"/>
    <col min="14598" max="14842" width="9.140625" style="206"/>
    <col min="14843" max="14843" width="2.140625" style="206" customWidth="1"/>
    <col min="14844" max="14844" width="8.7109375" style="206" customWidth="1"/>
    <col min="14845" max="14845" width="9.85546875" style="206" customWidth="1"/>
    <col min="14846" max="14846" width="1" style="206" customWidth="1"/>
    <col min="14847" max="14847" width="10.85546875" style="206" customWidth="1"/>
    <col min="14848" max="14848" width="1" style="206" customWidth="1"/>
    <col min="14849" max="14849" width="53.5703125" style="206" customWidth="1"/>
    <col min="14850" max="14851" width="22.85546875" style="206" customWidth="1"/>
    <col min="14852" max="14852" width="8.7109375" style="206" customWidth="1"/>
    <col min="14853" max="14853" width="14.140625" style="206" customWidth="1"/>
    <col min="14854" max="15098" width="9.140625" style="206"/>
    <col min="15099" max="15099" width="2.140625" style="206" customWidth="1"/>
    <col min="15100" max="15100" width="8.7109375" style="206" customWidth="1"/>
    <col min="15101" max="15101" width="9.85546875" style="206" customWidth="1"/>
    <col min="15102" max="15102" width="1" style="206" customWidth="1"/>
    <col min="15103" max="15103" width="10.85546875" style="206" customWidth="1"/>
    <col min="15104" max="15104" width="1" style="206" customWidth="1"/>
    <col min="15105" max="15105" width="53.5703125" style="206" customWidth="1"/>
    <col min="15106" max="15107" width="22.85546875" style="206" customWidth="1"/>
    <col min="15108" max="15108" width="8.7109375" style="206" customWidth="1"/>
    <col min="15109" max="15109" width="14.140625" style="206" customWidth="1"/>
    <col min="15110" max="15354" width="9.140625" style="206"/>
    <col min="15355" max="15355" width="2.140625" style="206" customWidth="1"/>
    <col min="15356" max="15356" width="8.7109375" style="206" customWidth="1"/>
    <col min="15357" max="15357" width="9.85546875" style="206" customWidth="1"/>
    <col min="15358" max="15358" width="1" style="206" customWidth="1"/>
    <col min="15359" max="15359" width="10.85546875" style="206" customWidth="1"/>
    <col min="15360" max="15360" width="1" style="206" customWidth="1"/>
    <col min="15361" max="15361" width="53.5703125" style="206" customWidth="1"/>
    <col min="15362" max="15363" width="22.85546875" style="206" customWidth="1"/>
    <col min="15364" max="15364" width="8.7109375" style="206" customWidth="1"/>
    <col min="15365" max="15365" width="14.140625" style="206" customWidth="1"/>
    <col min="15366" max="15610" width="9.140625" style="206"/>
    <col min="15611" max="15611" width="2.140625" style="206" customWidth="1"/>
    <col min="15612" max="15612" width="8.7109375" style="206" customWidth="1"/>
    <col min="15613" max="15613" width="9.85546875" style="206" customWidth="1"/>
    <col min="15614" max="15614" width="1" style="206" customWidth="1"/>
    <col min="15615" max="15615" width="10.85546875" style="206" customWidth="1"/>
    <col min="15616" max="15616" width="1" style="206" customWidth="1"/>
    <col min="15617" max="15617" width="53.5703125" style="206" customWidth="1"/>
    <col min="15618" max="15619" width="22.85546875" style="206" customWidth="1"/>
    <col min="15620" max="15620" width="8.7109375" style="206" customWidth="1"/>
    <col min="15621" max="15621" width="14.140625" style="206" customWidth="1"/>
    <col min="15622" max="15866" width="9.140625" style="206"/>
    <col min="15867" max="15867" width="2.140625" style="206" customWidth="1"/>
    <col min="15868" max="15868" width="8.7109375" style="206" customWidth="1"/>
    <col min="15869" max="15869" width="9.85546875" style="206" customWidth="1"/>
    <col min="15870" max="15870" width="1" style="206" customWidth="1"/>
    <col min="15871" max="15871" width="10.85546875" style="206" customWidth="1"/>
    <col min="15872" max="15872" width="1" style="206" customWidth="1"/>
    <col min="15873" max="15873" width="53.5703125" style="206" customWidth="1"/>
    <col min="15874" max="15875" width="22.85546875" style="206" customWidth="1"/>
    <col min="15876" max="15876" width="8.7109375" style="206" customWidth="1"/>
    <col min="15877" max="15877" width="14.140625" style="206" customWidth="1"/>
    <col min="15878" max="16122" width="9.140625" style="206"/>
    <col min="16123" max="16123" width="2.140625" style="206" customWidth="1"/>
    <col min="16124" max="16124" width="8.7109375" style="206" customWidth="1"/>
    <col min="16125" max="16125" width="9.85546875" style="206" customWidth="1"/>
    <col min="16126" max="16126" width="1" style="206" customWidth="1"/>
    <col min="16127" max="16127" width="10.85546875" style="206" customWidth="1"/>
    <col min="16128" max="16128" width="1" style="206" customWidth="1"/>
    <col min="16129" max="16129" width="53.5703125" style="206" customWidth="1"/>
    <col min="16130" max="16131" width="22.85546875" style="206" customWidth="1"/>
    <col min="16132" max="16132" width="8.7109375" style="206" customWidth="1"/>
    <col min="16133" max="16133" width="14.140625" style="206" customWidth="1"/>
    <col min="16134" max="16384" width="9.140625" style="206"/>
  </cols>
  <sheetData>
    <row r="1" spans="1:31" ht="28.5" customHeight="1" x14ac:dyDescent="0.2">
      <c r="A1" s="981"/>
      <c r="B1" s="981"/>
      <c r="C1" s="981"/>
      <c r="D1" s="981"/>
      <c r="E1" s="981"/>
      <c r="H1" s="982" t="s">
        <v>1035</v>
      </c>
      <c r="I1" s="982"/>
      <c r="J1" s="982"/>
    </row>
    <row r="2" spans="1:31" ht="15.75" customHeight="1" x14ac:dyDescent="0.2">
      <c r="A2" s="208"/>
      <c r="B2" s="208"/>
      <c r="C2" s="208"/>
      <c r="D2" s="208"/>
      <c r="E2" s="208"/>
      <c r="H2" s="209"/>
      <c r="I2" s="209"/>
      <c r="J2" s="209"/>
    </row>
    <row r="3" spans="1:31" ht="44.25" customHeight="1" x14ac:dyDescent="0.2">
      <c r="A3" s="983" t="s">
        <v>1036</v>
      </c>
      <c r="B3" s="983"/>
      <c r="C3" s="983"/>
      <c r="D3" s="983"/>
      <c r="E3" s="983"/>
      <c r="F3" s="983"/>
      <c r="G3" s="983"/>
      <c r="H3" s="983"/>
      <c r="I3" s="983"/>
      <c r="J3" s="983"/>
    </row>
    <row r="4" spans="1:31" ht="67.5" x14ac:dyDescent="0.2">
      <c r="A4" s="210" t="s">
        <v>1</v>
      </c>
      <c r="B4" s="210" t="s">
        <v>2</v>
      </c>
      <c r="C4" s="210" t="s">
        <v>3</v>
      </c>
      <c r="D4" s="210" t="s">
        <v>4</v>
      </c>
      <c r="E4" s="4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933" t="s">
        <v>10</v>
      </c>
      <c r="L4" s="211" t="s">
        <v>389</v>
      </c>
      <c r="M4" s="11" t="s">
        <v>14</v>
      </c>
      <c r="N4" s="11" t="s">
        <v>390</v>
      </c>
      <c r="O4" s="11" t="s">
        <v>15</v>
      </c>
      <c r="P4" s="11" t="s">
        <v>16</v>
      </c>
      <c r="Q4" s="11" t="s">
        <v>17</v>
      </c>
      <c r="R4" s="11" t="s">
        <v>391</v>
      </c>
      <c r="S4" s="12" t="s">
        <v>18</v>
      </c>
      <c r="T4" s="12" t="s">
        <v>19</v>
      </c>
      <c r="U4" s="11" t="s">
        <v>20</v>
      </c>
      <c r="V4" s="11" t="s">
        <v>21</v>
      </c>
      <c r="W4" s="212" t="s">
        <v>22</v>
      </c>
      <c r="X4" s="212" t="s">
        <v>23</v>
      </c>
      <c r="Y4" s="11" t="s">
        <v>24</v>
      </c>
      <c r="Z4" s="11" t="s">
        <v>25</v>
      </c>
      <c r="AA4" s="11" t="s">
        <v>26</v>
      </c>
      <c r="AB4" s="212" t="s">
        <v>27</v>
      </c>
      <c r="AC4" s="212" t="s">
        <v>28</v>
      </c>
      <c r="AD4" s="11" t="s">
        <v>29</v>
      </c>
      <c r="AE4" s="11"/>
    </row>
    <row r="5" spans="1:31" x14ac:dyDescent="0.2">
      <c r="A5" s="213" t="s">
        <v>30</v>
      </c>
      <c r="B5" s="213"/>
      <c r="C5" s="213"/>
      <c r="D5" s="214" t="s">
        <v>31</v>
      </c>
      <c r="E5" s="215">
        <f>E6+E8+E10</f>
        <v>685687.95</v>
      </c>
      <c r="F5" s="215">
        <f t="shared" ref="F5:AE5" si="0">F6+F8+F10</f>
        <v>623406.94999999995</v>
      </c>
      <c r="G5" s="216">
        <f>F5/E5</f>
        <v>0.90917005322902344</v>
      </c>
      <c r="H5" s="215">
        <f t="shared" si="0"/>
        <v>681743.35</v>
      </c>
      <c r="I5" s="217">
        <f t="shared" si="0"/>
        <v>41000</v>
      </c>
      <c r="J5" s="934">
        <f>I5/E5</f>
        <v>5.9793963128563075E-2</v>
      </c>
      <c r="K5" s="924">
        <f t="shared" si="0"/>
        <v>21000</v>
      </c>
      <c r="L5" s="215">
        <f t="shared" si="0"/>
        <v>21000</v>
      </c>
      <c r="M5" s="215">
        <f t="shared" si="0"/>
        <v>1000</v>
      </c>
      <c r="N5" s="215">
        <f t="shared" si="0"/>
        <v>0</v>
      </c>
      <c r="O5" s="215">
        <f t="shared" si="0"/>
        <v>0</v>
      </c>
      <c r="P5" s="215">
        <f t="shared" si="0"/>
        <v>17000</v>
      </c>
      <c r="Q5" s="215">
        <f t="shared" si="0"/>
        <v>0</v>
      </c>
      <c r="R5" s="218">
        <f>R6+R8+R10</f>
        <v>3000</v>
      </c>
      <c r="S5" s="215">
        <f t="shared" si="0"/>
        <v>0</v>
      </c>
      <c r="T5" s="215">
        <f t="shared" si="0"/>
        <v>0</v>
      </c>
      <c r="U5" s="215">
        <f t="shared" si="0"/>
        <v>0</v>
      </c>
      <c r="V5" s="215">
        <f t="shared" si="0"/>
        <v>0</v>
      </c>
      <c r="W5" s="215">
        <f t="shared" si="0"/>
        <v>0</v>
      </c>
      <c r="X5" s="215">
        <f t="shared" si="0"/>
        <v>0</v>
      </c>
      <c r="Y5" s="215">
        <f t="shared" si="0"/>
        <v>0</v>
      </c>
      <c r="Z5" s="215">
        <f t="shared" si="0"/>
        <v>0</v>
      </c>
      <c r="AA5" s="215">
        <f t="shared" si="0"/>
        <v>0</v>
      </c>
      <c r="AB5" s="215">
        <f t="shared" si="0"/>
        <v>0</v>
      </c>
      <c r="AC5" s="215">
        <f t="shared" si="0"/>
        <v>0</v>
      </c>
      <c r="AD5" s="215">
        <f t="shared" si="0"/>
        <v>0</v>
      </c>
      <c r="AE5" s="215">
        <f t="shared" si="0"/>
        <v>0</v>
      </c>
    </row>
    <row r="6" spans="1:31" ht="15" x14ac:dyDescent="0.2">
      <c r="A6" s="219"/>
      <c r="B6" s="220" t="s">
        <v>392</v>
      </c>
      <c r="C6" s="221"/>
      <c r="D6" s="222" t="s">
        <v>393</v>
      </c>
      <c r="E6" s="223" t="str">
        <f>E7</f>
        <v>20 000,00</v>
      </c>
      <c r="F6" s="223">
        <f t="shared" ref="F6:AE6" si="1">F7</f>
        <v>0</v>
      </c>
      <c r="G6" s="224">
        <f>F6/E6</f>
        <v>0</v>
      </c>
      <c r="H6" s="223">
        <f t="shared" si="1"/>
        <v>20000</v>
      </c>
      <c r="I6" s="225">
        <f t="shared" si="1"/>
        <v>20000</v>
      </c>
      <c r="J6" s="935">
        <f>I6/E6</f>
        <v>1</v>
      </c>
      <c r="K6" s="925">
        <f t="shared" si="1"/>
        <v>0</v>
      </c>
      <c r="L6" s="223">
        <f t="shared" si="1"/>
        <v>0</v>
      </c>
      <c r="M6" s="223">
        <f t="shared" si="1"/>
        <v>0</v>
      </c>
      <c r="N6" s="223">
        <f t="shared" si="1"/>
        <v>0</v>
      </c>
      <c r="O6" s="223">
        <f t="shared" si="1"/>
        <v>0</v>
      </c>
      <c r="P6" s="223">
        <f t="shared" si="1"/>
        <v>0</v>
      </c>
      <c r="Q6" s="223">
        <f t="shared" si="1"/>
        <v>0</v>
      </c>
      <c r="R6" s="226">
        <f>R7</f>
        <v>0</v>
      </c>
      <c r="S6" s="223">
        <f t="shared" si="1"/>
        <v>0</v>
      </c>
      <c r="T6" s="223">
        <f t="shared" si="1"/>
        <v>0</v>
      </c>
      <c r="U6" s="223">
        <f t="shared" si="1"/>
        <v>0</v>
      </c>
      <c r="V6" s="223">
        <f t="shared" si="1"/>
        <v>0</v>
      </c>
      <c r="W6" s="223">
        <f t="shared" si="1"/>
        <v>0</v>
      </c>
      <c r="X6" s="223">
        <f t="shared" si="1"/>
        <v>0</v>
      </c>
      <c r="Y6" s="223">
        <f t="shared" si="1"/>
        <v>0</v>
      </c>
      <c r="Z6" s="223">
        <f t="shared" si="1"/>
        <v>0</v>
      </c>
      <c r="AA6" s="223">
        <f t="shared" si="1"/>
        <v>0</v>
      </c>
      <c r="AB6" s="223">
        <f t="shared" si="1"/>
        <v>0</v>
      </c>
      <c r="AC6" s="223">
        <f t="shared" si="1"/>
        <v>0</v>
      </c>
      <c r="AD6" s="223">
        <f t="shared" si="1"/>
        <v>0</v>
      </c>
      <c r="AE6" s="223">
        <f t="shared" si="1"/>
        <v>0</v>
      </c>
    </row>
    <row r="7" spans="1:31" ht="45" x14ac:dyDescent="0.2">
      <c r="A7" s="227"/>
      <c r="B7" s="227"/>
      <c r="C7" s="228" t="s">
        <v>394</v>
      </c>
      <c r="D7" s="229" t="s">
        <v>395</v>
      </c>
      <c r="E7" s="230" t="s">
        <v>36</v>
      </c>
      <c r="F7" s="231">
        <v>0</v>
      </c>
      <c r="G7" s="232">
        <f>F7/E7</f>
        <v>0</v>
      </c>
      <c r="H7" s="233">
        <v>20000</v>
      </c>
      <c r="I7" s="234">
        <v>20000</v>
      </c>
      <c r="J7" s="936">
        <f>I7/E7</f>
        <v>1</v>
      </c>
      <c r="K7" s="235">
        <f>L7+S7+T7</f>
        <v>0</v>
      </c>
      <c r="L7" s="231">
        <f>SUM(M7:R7)</f>
        <v>0</v>
      </c>
      <c r="M7" s="236"/>
      <c r="N7" s="236"/>
      <c r="O7" s="236"/>
      <c r="P7" s="236"/>
      <c r="Q7" s="236"/>
      <c r="R7" s="237"/>
      <c r="S7" s="237"/>
      <c r="T7" s="231">
        <f>SUM(U7:AD7)</f>
        <v>0</v>
      </c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</row>
    <row r="8" spans="1:31" ht="15" x14ac:dyDescent="0.2">
      <c r="A8" s="219"/>
      <c r="B8" s="220" t="s">
        <v>396</v>
      </c>
      <c r="C8" s="221"/>
      <c r="D8" s="222" t="s">
        <v>397</v>
      </c>
      <c r="E8" s="223" t="str">
        <f>E9</f>
        <v>17 000,00</v>
      </c>
      <c r="F8" s="223">
        <f t="shared" ref="F8:AE8" si="2">F9</f>
        <v>9934</v>
      </c>
      <c r="G8" s="238">
        <f t="shared" ref="G8:G71" si="3">F8/E8</f>
        <v>0.58435294117647063</v>
      </c>
      <c r="H8" s="239">
        <f t="shared" si="2"/>
        <v>14056</v>
      </c>
      <c r="I8" s="240">
        <f t="shared" si="2"/>
        <v>17000</v>
      </c>
      <c r="J8" s="937">
        <f t="shared" ref="J8:J71" si="4">I8/E8</f>
        <v>1</v>
      </c>
      <c r="K8" s="925">
        <f t="shared" si="2"/>
        <v>17000</v>
      </c>
      <c r="L8" s="223">
        <f t="shared" si="2"/>
        <v>17000</v>
      </c>
      <c r="M8" s="223">
        <f t="shared" si="2"/>
        <v>0</v>
      </c>
      <c r="N8" s="223">
        <f t="shared" si="2"/>
        <v>0</v>
      </c>
      <c r="O8" s="223">
        <f t="shared" si="2"/>
        <v>0</v>
      </c>
      <c r="P8" s="223">
        <f t="shared" si="2"/>
        <v>17000</v>
      </c>
      <c r="Q8" s="223">
        <f t="shared" si="2"/>
        <v>0</v>
      </c>
      <c r="R8" s="226">
        <f>R9</f>
        <v>0</v>
      </c>
      <c r="S8" s="223">
        <f t="shared" si="2"/>
        <v>0</v>
      </c>
      <c r="T8" s="223">
        <f t="shared" si="2"/>
        <v>0</v>
      </c>
      <c r="U8" s="223">
        <f t="shared" si="2"/>
        <v>0</v>
      </c>
      <c r="V8" s="223">
        <f t="shared" si="2"/>
        <v>0</v>
      </c>
      <c r="W8" s="223">
        <f t="shared" si="2"/>
        <v>0</v>
      </c>
      <c r="X8" s="223">
        <f t="shared" si="2"/>
        <v>0</v>
      </c>
      <c r="Y8" s="223">
        <f t="shared" si="2"/>
        <v>0</v>
      </c>
      <c r="Z8" s="223">
        <f t="shared" si="2"/>
        <v>0</v>
      </c>
      <c r="AA8" s="223">
        <f t="shared" si="2"/>
        <v>0</v>
      </c>
      <c r="AB8" s="223">
        <f t="shared" si="2"/>
        <v>0</v>
      </c>
      <c r="AC8" s="223">
        <f t="shared" si="2"/>
        <v>0</v>
      </c>
      <c r="AD8" s="223">
        <f t="shared" si="2"/>
        <v>0</v>
      </c>
      <c r="AE8" s="223">
        <f t="shared" si="2"/>
        <v>0</v>
      </c>
    </row>
    <row r="9" spans="1:31" ht="22.5" x14ac:dyDescent="0.2">
      <c r="A9" s="227"/>
      <c r="B9" s="227"/>
      <c r="C9" s="228" t="s">
        <v>398</v>
      </c>
      <c r="D9" s="229" t="s">
        <v>399</v>
      </c>
      <c r="E9" s="230" t="s">
        <v>400</v>
      </c>
      <c r="F9" s="231">
        <v>9934</v>
      </c>
      <c r="G9" s="232">
        <f t="shared" si="3"/>
        <v>0.58435294117647063</v>
      </c>
      <c r="H9" s="233">
        <v>14056</v>
      </c>
      <c r="I9" s="234">
        <v>17000</v>
      </c>
      <c r="J9" s="936">
        <f t="shared" si="4"/>
        <v>1</v>
      </c>
      <c r="K9" s="241">
        <f>L9+S9+T9</f>
        <v>17000</v>
      </c>
      <c r="L9" s="236">
        <f>SUM(M9:R9)</f>
        <v>17000</v>
      </c>
      <c r="M9" s="236"/>
      <c r="N9" s="236"/>
      <c r="O9" s="236"/>
      <c r="P9" s="236">
        <v>17000</v>
      </c>
      <c r="Q9" s="236"/>
      <c r="R9" s="242"/>
      <c r="S9" s="242"/>
      <c r="T9" s="236">
        <f>SUM(U9:AD9)</f>
        <v>0</v>
      </c>
      <c r="U9" s="242"/>
      <c r="V9" s="242"/>
      <c r="W9" s="242"/>
      <c r="X9" s="242"/>
      <c r="Y9" s="242"/>
      <c r="Z9" s="242"/>
      <c r="AA9" s="242"/>
      <c r="AB9" s="242"/>
      <c r="AC9" s="242"/>
      <c r="AD9" s="242"/>
      <c r="AE9" s="242"/>
    </row>
    <row r="10" spans="1:31" ht="15" x14ac:dyDescent="0.2">
      <c r="A10" s="219"/>
      <c r="B10" s="220" t="s">
        <v>40</v>
      </c>
      <c r="C10" s="221"/>
      <c r="D10" s="222" t="s">
        <v>41</v>
      </c>
      <c r="E10" s="223">
        <f>E11+E12+E13+E14+E15+E16</f>
        <v>648687.94999999995</v>
      </c>
      <c r="F10" s="223">
        <f t="shared" ref="F10:AE10" si="5">F11+F12+F13+F14+F15+F16</f>
        <v>613472.94999999995</v>
      </c>
      <c r="G10" s="238">
        <f t="shared" si="3"/>
        <v>0.94571349752989864</v>
      </c>
      <c r="H10" s="223">
        <f t="shared" si="5"/>
        <v>647687.35</v>
      </c>
      <c r="I10" s="225">
        <f t="shared" si="5"/>
        <v>4000</v>
      </c>
      <c r="J10" s="937">
        <f t="shared" si="4"/>
        <v>6.1662930535398416E-3</v>
      </c>
      <c r="K10" s="925">
        <f t="shared" si="5"/>
        <v>4000</v>
      </c>
      <c r="L10" s="223">
        <f t="shared" si="5"/>
        <v>4000</v>
      </c>
      <c r="M10" s="243">
        <f t="shared" si="5"/>
        <v>1000</v>
      </c>
      <c r="N10" s="223">
        <f t="shared" si="5"/>
        <v>0</v>
      </c>
      <c r="O10" s="223">
        <f t="shared" si="5"/>
        <v>0</v>
      </c>
      <c r="P10" s="223">
        <f t="shared" si="5"/>
        <v>0</v>
      </c>
      <c r="Q10" s="223">
        <f t="shared" si="5"/>
        <v>0</v>
      </c>
      <c r="R10" s="226">
        <f>R11+R12+R13+R14+R15+R16</f>
        <v>3000</v>
      </c>
      <c r="S10" s="223">
        <f t="shared" si="5"/>
        <v>0</v>
      </c>
      <c r="T10" s="223">
        <f t="shared" si="5"/>
        <v>0</v>
      </c>
      <c r="U10" s="223">
        <f t="shared" si="5"/>
        <v>0</v>
      </c>
      <c r="V10" s="223">
        <f t="shared" si="5"/>
        <v>0</v>
      </c>
      <c r="W10" s="223">
        <f t="shared" si="5"/>
        <v>0</v>
      </c>
      <c r="X10" s="223">
        <f t="shared" si="5"/>
        <v>0</v>
      </c>
      <c r="Y10" s="223">
        <f t="shared" si="5"/>
        <v>0</v>
      </c>
      <c r="Z10" s="223">
        <f t="shared" si="5"/>
        <v>0</v>
      </c>
      <c r="AA10" s="223">
        <f t="shared" si="5"/>
        <v>0</v>
      </c>
      <c r="AB10" s="223">
        <f t="shared" si="5"/>
        <v>0</v>
      </c>
      <c r="AC10" s="223">
        <f t="shared" si="5"/>
        <v>0</v>
      </c>
      <c r="AD10" s="223">
        <f t="shared" si="5"/>
        <v>0</v>
      </c>
      <c r="AE10" s="223">
        <f t="shared" si="5"/>
        <v>0</v>
      </c>
    </row>
    <row r="11" spans="1:31" x14ac:dyDescent="0.2">
      <c r="A11" s="227"/>
      <c r="B11" s="227"/>
      <c r="C11" s="228" t="s">
        <v>401</v>
      </c>
      <c r="D11" s="229" t="s">
        <v>402</v>
      </c>
      <c r="E11" s="230" t="s">
        <v>403</v>
      </c>
      <c r="F11" s="231">
        <v>5819.5</v>
      </c>
      <c r="G11" s="232">
        <f t="shared" si="3"/>
        <v>1</v>
      </c>
      <c r="H11" s="233">
        <v>5819.5</v>
      </c>
      <c r="I11" s="234">
        <v>0</v>
      </c>
      <c r="J11" s="936">
        <f t="shared" si="4"/>
        <v>0</v>
      </c>
      <c r="K11" s="241">
        <f>L11</f>
        <v>0</v>
      </c>
      <c r="L11" s="236">
        <f t="shared" ref="L11:L16" si="6">SUM(M11:R11)</f>
        <v>0</v>
      </c>
      <c r="M11" s="244"/>
      <c r="N11" s="245"/>
      <c r="O11" s="245"/>
      <c r="P11" s="245"/>
      <c r="Q11" s="245"/>
      <c r="R11" s="236"/>
      <c r="S11" s="242"/>
      <c r="T11" s="236">
        <f t="shared" ref="T11:T16" si="7">SUM(U11:AD11)</f>
        <v>0</v>
      </c>
      <c r="U11" s="242"/>
      <c r="V11" s="242"/>
      <c r="W11" s="242"/>
      <c r="X11" s="242"/>
      <c r="Y11" s="242"/>
      <c r="Z11" s="242"/>
      <c r="AA11" s="242"/>
      <c r="AB11" s="242"/>
      <c r="AC11" s="242"/>
      <c r="AD11" s="242"/>
      <c r="AE11" s="242"/>
    </row>
    <row r="12" spans="1:31" x14ac:dyDescent="0.2">
      <c r="A12" s="227"/>
      <c r="B12" s="227"/>
      <c r="C12" s="228" t="s">
        <v>404</v>
      </c>
      <c r="D12" s="229" t="s">
        <v>405</v>
      </c>
      <c r="E12" s="230" t="s">
        <v>406</v>
      </c>
      <c r="F12" s="231">
        <v>998.54</v>
      </c>
      <c r="G12" s="232">
        <f t="shared" si="3"/>
        <v>1</v>
      </c>
      <c r="H12" s="233">
        <v>998.54</v>
      </c>
      <c r="I12" s="234">
        <v>0</v>
      </c>
      <c r="J12" s="936">
        <f t="shared" si="4"/>
        <v>0</v>
      </c>
      <c r="K12" s="241">
        <f t="shared" ref="K12:K16" si="8">L12</f>
        <v>0</v>
      </c>
      <c r="L12" s="236">
        <f t="shared" si="6"/>
        <v>0</v>
      </c>
      <c r="M12" s="244"/>
      <c r="N12" s="245"/>
      <c r="O12" s="245"/>
      <c r="P12" s="245"/>
      <c r="Q12" s="245"/>
      <c r="R12" s="236"/>
      <c r="S12" s="242"/>
      <c r="T12" s="236">
        <f t="shared" si="7"/>
        <v>0</v>
      </c>
      <c r="U12" s="242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</row>
    <row r="13" spans="1:31" x14ac:dyDescent="0.2">
      <c r="A13" s="227"/>
      <c r="B13" s="227"/>
      <c r="C13" s="228" t="s">
        <v>407</v>
      </c>
      <c r="D13" s="229" t="s">
        <v>408</v>
      </c>
      <c r="E13" s="230" t="s">
        <v>409</v>
      </c>
      <c r="F13" s="231">
        <v>138.71</v>
      </c>
      <c r="G13" s="232">
        <f t="shared" si="3"/>
        <v>1</v>
      </c>
      <c r="H13" s="233">
        <v>138.71</v>
      </c>
      <c r="I13" s="234">
        <v>0</v>
      </c>
      <c r="J13" s="936">
        <f t="shared" si="4"/>
        <v>0</v>
      </c>
      <c r="K13" s="241">
        <f t="shared" si="8"/>
        <v>0</v>
      </c>
      <c r="L13" s="236">
        <f t="shared" si="6"/>
        <v>0</v>
      </c>
      <c r="M13" s="244"/>
      <c r="N13" s="245"/>
      <c r="O13" s="245"/>
      <c r="P13" s="245"/>
      <c r="Q13" s="245"/>
      <c r="R13" s="236"/>
      <c r="S13" s="242"/>
      <c r="T13" s="236">
        <f t="shared" si="7"/>
        <v>0</v>
      </c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</row>
    <row r="14" spans="1:31" x14ac:dyDescent="0.2">
      <c r="A14" s="227"/>
      <c r="B14" s="227"/>
      <c r="C14" s="228" t="s">
        <v>410</v>
      </c>
      <c r="D14" s="229" t="s">
        <v>411</v>
      </c>
      <c r="E14" s="230" t="s">
        <v>412</v>
      </c>
      <c r="F14" s="231">
        <v>3223.53</v>
      </c>
      <c r="G14" s="232">
        <f t="shared" si="3"/>
        <v>1</v>
      </c>
      <c r="H14" s="233">
        <v>3223.53</v>
      </c>
      <c r="I14" s="234">
        <v>0</v>
      </c>
      <c r="J14" s="936">
        <f t="shared" si="4"/>
        <v>0</v>
      </c>
      <c r="K14" s="241">
        <f t="shared" si="8"/>
        <v>0</v>
      </c>
      <c r="L14" s="236">
        <f t="shared" si="6"/>
        <v>0</v>
      </c>
      <c r="M14" s="244"/>
      <c r="N14" s="245"/>
      <c r="O14" s="245"/>
      <c r="P14" s="245"/>
      <c r="Q14" s="245"/>
      <c r="R14" s="236"/>
      <c r="S14" s="242"/>
      <c r="T14" s="236">
        <f t="shared" si="7"/>
        <v>0</v>
      </c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</row>
    <row r="15" spans="1:31" x14ac:dyDescent="0.2">
      <c r="A15" s="227"/>
      <c r="B15" s="227"/>
      <c r="C15" s="228" t="s">
        <v>413</v>
      </c>
      <c r="D15" s="229" t="s">
        <v>414</v>
      </c>
      <c r="E15" s="230" t="s">
        <v>415</v>
      </c>
      <c r="F15" s="231">
        <v>1848.6</v>
      </c>
      <c r="G15" s="232">
        <f t="shared" si="3"/>
        <v>4.9876428625389872E-2</v>
      </c>
      <c r="H15" s="233">
        <f>1848.6+24883.2+9331.2</f>
        <v>36063</v>
      </c>
      <c r="I15" s="234">
        <v>4000</v>
      </c>
      <c r="J15" s="936">
        <f t="shared" si="4"/>
        <v>0.10792259791277696</v>
      </c>
      <c r="K15" s="241">
        <f t="shared" si="8"/>
        <v>4000</v>
      </c>
      <c r="L15" s="236">
        <f t="shared" si="6"/>
        <v>4000</v>
      </c>
      <c r="M15" s="244">
        <v>1000</v>
      </c>
      <c r="N15" s="245"/>
      <c r="O15" s="245"/>
      <c r="P15" s="236"/>
      <c r="Q15" s="245"/>
      <c r="R15" s="236">
        <v>3000</v>
      </c>
      <c r="S15" s="242"/>
      <c r="T15" s="236">
        <f t="shared" si="7"/>
        <v>0</v>
      </c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</row>
    <row r="16" spans="1:31" x14ac:dyDescent="0.2">
      <c r="A16" s="227"/>
      <c r="B16" s="227"/>
      <c r="C16" s="228" t="s">
        <v>416</v>
      </c>
      <c r="D16" s="229" t="s">
        <v>417</v>
      </c>
      <c r="E16" s="230" t="s">
        <v>418</v>
      </c>
      <c r="F16" s="231">
        <v>601444.06999999995</v>
      </c>
      <c r="G16" s="232">
        <f t="shared" si="3"/>
        <v>1</v>
      </c>
      <c r="H16" s="233">
        <v>601444.06999999995</v>
      </c>
      <c r="I16" s="234">
        <v>0</v>
      </c>
      <c r="J16" s="936">
        <f t="shared" si="4"/>
        <v>0</v>
      </c>
      <c r="K16" s="241">
        <f t="shared" si="8"/>
        <v>0</v>
      </c>
      <c r="L16" s="236">
        <f t="shared" si="6"/>
        <v>0</v>
      </c>
      <c r="M16" s="244"/>
      <c r="N16" s="245"/>
      <c r="O16" s="245"/>
      <c r="P16" s="245"/>
      <c r="Q16" s="245"/>
      <c r="R16" s="236"/>
      <c r="S16" s="242"/>
      <c r="T16" s="236">
        <f t="shared" si="7"/>
        <v>0</v>
      </c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</row>
    <row r="17" spans="1:31" x14ac:dyDescent="0.2">
      <c r="A17" s="213" t="s">
        <v>56</v>
      </c>
      <c r="B17" s="213"/>
      <c r="C17" s="213"/>
      <c r="D17" s="214" t="s">
        <v>57</v>
      </c>
      <c r="E17" s="215">
        <f>E18</f>
        <v>25000</v>
      </c>
      <c r="F17" s="215">
        <f t="shared" ref="F17:AE17" si="9">F18</f>
        <v>7904.5300000000007</v>
      </c>
      <c r="G17" s="246">
        <f t="shared" si="3"/>
        <v>0.31618120000000005</v>
      </c>
      <c r="H17" s="215">
        <f t="shared" si="9"/>
        <v>23392.25</v>
      </c>
      <c r="I17" s="217">
        <f t="shared" si="9"/>
        <v>25000</v>
      </c>
      <c r="J17" s="938">
        <f t="shared" si="4"/>
        <v>1</v>
      </c>
      <c r="K17" s="924">
        <f t="shared" si="9"/>
        <v>25000</v>
      </c>
      <c r="L17" s="215">
        <f t="shared" si="9"/>
        <v>25000</v>
      </c>
      <c r="M17" s="215">
        <f t="shared" si="9"/>
        <v>25000</v>
      </c>
      <c r="N17" s="215">
        <f t="shared" si="9"/>
        <v>0</v>
      </c>
      <c r="O17" s="215">
        <f t="shared" si="9"/>
        <v>0</v>
      </c>
      <c r="P17" s="215">
        <f t="shared" si="9"/>
        <v>0</v>
      </c>
      <c r="Q17" s="215">
        <f t="shared" si="9"/>
        <v>0</v>
      </c>
      <c r="R17" s="218">
        <f>R18</f>
        <v>0</v>
      </c>
      <c r="S17" s="215">
        <f t="shared" si="9"/>
        <v>0</v>
      </c>
      <c r="T17" s="215">
        <f t="shared" si="9"/>
        <v>0</v>
      </c>
      <c r="U17" s="215">
        <f t="shared" si="9"/>
        <v>0</v>
      </c>
      <c r="V17" s="215">
        <f t="shared" si="9"/>
        <v>0</v>
      </c>
      <c r="W17" s="215">
        <f t="shared" si="9"/>
        <v>0</v>
      </c>
      <c r="X17" s="215">
        <f t="shared" si="9"/>
        <v>0</v>
      </c>
      <c r="Y17" s="215">
        <f t="shared" si="9"/>
        <v>0</v>
      </c>
      <c r="Z17" s="215">
        <f t="shared" si="9"/>
        <v>0</v>
      </c>
      <c r="AA17" s="215">
        <f t="shared" si="9"/>
        <v>0</v>
      </c>
      <c r="AB17" s="215">
        <f t="shared" si="9"/>
        <v>0</v>
      </c>
      <c r="AC17" s="215">
        <f t="shared" si="9"/>
        <v>0</v>
      </c>
      <c r="AD17" s="215">
        <f t="shared" si="9"/>
        <v>0</v>
      </c>
      <c r="AE17" s="215">
        <f t="shared" si="9"/>
        <v>0</v>
      </c>
    </row>
    <row r="18" spans="1:31" ht="15" x14ac:dyDescent="0.2">
      <c r="A18" s="219"/>
      <c r="B18" s="220" t="s">
        <v>58</v>
      </c>
      <c r="C18" s="221"/>
      <c r="D18" s="222" t="s">
        <v>41</v>
      </c>
      <c r="E18" s="223">
        <f>E19+E20+E21+E22+E23</f>
        <v>25000</v>
      </c>
      <c r="F18" s="223">
        <f t="shared" ref="F18:AE18" si="10">F19+F20+F21+F22+F23</f>
        <v>7904.5300000000007</v>
      </c>
      <c r="G18" s="238">
        <f t="shared" si="3"/>
        <v>0.31618120000000005</v>
      </c>
      <c r="H18" s="223">
        <f t="shared" si="10"/>
        <v>23392.25</v>
      </c>
      <c r="I18" s="225">
        <f t="shared" si="10"/>
        <v>25000</v>
      </c>
      <c r="J18" s="937">
        <f t="shared" si="4"/>
        <v>1</v>
      </c>
      <c r="K18" s="925">
        <f t="shared" si="10"/>
        <v>25000</v>
      </c>
      <c r="L18" s="223">
        <f t="shared" si="10"/>
        <v>25000</v>
      </c>
      <c r="M18" s="223">
        <f t="shared" si="10"/>
        <v>25000</v>
      </c>
      <c r="N18" s="223">
        <f t="shared" si="10"/>
        <v>0</v>
      </c>
      <c r="O18" s="223">
        <f t="shared" si="10"/>
        <v>0</v>
      </c>
      <c r="P18" s="223">
        <f t="shared" si="10"/>
        <v>0</v>
      </c>
      <c r="Q18" s="223">
        <f t="shared" si="10"/>
        <v>0</v>
      </c>
      <c r="R18" s="226">
        <f>R19+R20+R21+R22+R23</f>
        <v>0</v>
      </c>
      <c r="S18" s="223">
        <f t="shared" si="10"/>
        <v>0</v>
      </c>
      <c r="T18" s="223">
        <f t="shared" si="10"/>
        <v>0</v>
      </c>
      <c r="U18" s="223">
        <f t="shared" si="10"/>
        <v>0</v>
      </c>
      <c r="V18" s="223">
        <f t="shared" si="10"/>
        <v>0</v>
      </c>
      <c r="W18" s="223">
        <f t="shared" si="10"/>
        <v>0</v>
      </c>
      <c r="X18" s="223">
        <f t="shared" si="10"/>
        <v>0</v>
      </c>
      <c r="Y18" s="223">
        <f t="shared" si="10"/>
        <v>0</v>
      </c>
      <c r="Z18" s="223">
        <f t="shared" si="10"/>
        <v>0</v>
      </c>
      <c r="AA18" s="223">
        <f t="shared" si="10"/>
        <v>0</v>
      </c>
      <c r="AB18" s="223">
        <f t="shared" si="10"/>
        <v>0</v>
      </c>
      <c r="AC18" s="223">
        <f t="shared" si="10"/>
        <v>0</v>
      </c>
      <c r="AD18" s="223">
        <f t="shared" si="10"/>
        <v>0</v>
      </c>
      <c r="AE18" s="223">
        <f t="shared" si="10"/>
        <v>0</v>
      </c>
    </row>
    <row r="19" spans="1:31" x14ac:dyDescent="0.2">
      <c r="A19" s="227"/>
      <c r="B19" s="227"/>
      <c r="C19" s="228" t="s">
        <v>404</v>
      </c>
      <c r="D19" s="229" t="s">
        <v>405</v>
      </c>
      <c r="E19" s="230" t="s">
        <v>419</v>
      </c>
      <c r="F19" s="231">
        <v>427.5</v>
      </c>
      <c r="G19" s="232">
        <f t="shared" si="3"/>
        <v>0.55232558139534882</v>
      </c>
      <c r="H19" s="233">
        <v>769.5</v>
      </c>
      <c r="I19" s="234">
        <v>774</v>
      </c>
      <c r="J19" s="936">
        <f t="shared" si="4"/>
        <v>1</v>
      </c>
      <c r="K19" s="241">
        <f>L19</f>
        <v>774</v>
      </c>
      <c r="L19" s="236">
        <f>SUM(M19:R19)</f>
        <v>774</v>
      </c>
      <c r="M19" s="236">
        <v>774</v>
      </c>
      <c r="N19" s="236"/>
      <c r="O19" s="236"/>
      <c r="P19" s="236"/>
      <c r="Q19" s="236"/>
      <c r="R19" s="242"/>
      <c r="S19" s="242"/>
      <c r="T19" s="236">
        <f>SUM(U19:AD19)</f>
        <v>0</v>
      </c>
      <c r="U19" s="242"/>
      <c r="V19" s="242"/>
      <c r="W19" s="242"/>
      <c r="X19" s="242"/>
      <c r="Y19" s="242"/>
      <c r="Z19" s="242"/>
      <c r="AA19" s="242"/>
      <c r="AB19" s="242"/>
      <c r="AC19" s="242"/>
      <c r="AD19" s="242"/>
      <c r="AE19" s="242"/>
    </row>
    <row r="20" spans="1:31" x14ac:dyDescent="0.2">
      <c r="A20" s="227"/>
      <c r="B20" s="227"/>
      <c r="C20" s="228" t="s">
        <v>420</v>
      </c>
      <c r="D20" s="229" t="s">
        <v>421</v>
      </c>
      <c r="E20" s="230" t="s">
        <v>422</v>
      </c>
      <c r="F20" s="231">
        <v>2873.77</v>
      </c>
      <c r="G20" s="232">
        <f t="shared" si="3"/>
        <v>0.6386155555555556</v>
      </c>
      <c r="H20" s="233">
        <v>4500</v>
      </c>
      <c r="I20" s="234">
        <v>4500</v>
      </c>
      <c r="J20" s="936">
        <f t="shared" si="4"/>
        <v>1</v>
      </c>
      <c r="K20" s="241">
        <f t="shared" ref="K20:K23" si="11">L20</f>
        <v>4500</v>
      </c>
      <c r="L20" s="236">
        <f>SUM(M20:R20)</f>
        <v>4500</v>
      </c>
      <c r="M20" s="236">
        <v>4500</v>
      </c>
      <c r="N20" s="236"/>
      <c r="O20" s="236"/>
      <c r="P20" s="236"/>
      <c r="Q20" s="236"/>
      <c r="R20" s="242"/>
      <c r="S20" s="242"/>
      <c r="T20" s="236">
        <f>SUM(U20:AD20)</f>
        <v>0</v>
      </c>
      <c r="U20" s="242"/>
      <c r="V20" s="242"/>
      <c r="W20" s="242"/>
      <c r="X20" s="242"/>
      <c r="Y20" s="242"/>
      <c r="Z20" s="242"/>
      <c r="AA20" s="242"/>
      <c r="AB20" s="242"/>
      <c r="AC20" s="242"/>
      <c r="AD20" s="242"/>
      <c r="AE20" s="242"/>
    </row>
    <row r="21" spans="1:31" x14ac:dyDescent="0.2">
      <c r="A21" s="227"/>
      <c r="B21" s="227"/>
      <c r="C21" s="228" t="s">
        <v>410</v>
      </c>
      <c r="D21" s="229" t="s">
        <v>411</v>
      </c>
      <c r="E21" s="230" t="s">
        <v>423</v>
      </c>
      <c r="F21" s="231">
        <v>4120</v>
      </c>
      <c r="G21" s="232">
        <f t="shared" si="3"/>
        <v>0.23889597587846456</v>
      </c>
      <c r="H21" s="233">
        <v>17246</v>
      </c>
      <c r="I21" s="234">
        <v>17246</v>
      </c>
      <c r="J21" s="936">
        <f t="shared" si="4"/>
        <v>1</v>
      </c>
      <c r="K21" s="241">
        <f t="shared" si="11"/>
        <v>17246</v>
      </c>
      <c r="L21" s="236">
        <f>SUM(M21:R21)</f>
        <v>17246</v>
      </c>
      <c r="M21" s="236">
        <v>17246</v>
      </c>
      <c r="N21" s="236"/>
      <c r="O21" s="236"/>
      <c r="P21" s="236"/>
      <c r="Q21" s="236"/>
      <c r="R21" s="242"/>
      <c r="S21" s="242"/>
      <c r="T21" s="236">
        <f>SUM(U21:AD21)</f>
        <v>0</v>
      </c>
      <c r="U21" s="242"/>
      <c r="V21" s="242"/>
      <c r="W21" s="242"/>
      <c r="X21" s="242"/>
      <c r="Y21" s="242"/>
      <c r="Z21" s="242"/>
      <c r="AA21" s="242"/>
      <c r="AB21" s="242"/>
      <c r="AC21" s="242"/>
      <c r="AD21" s="242"/>
      <c r="AE21" s="242"/>
    </row>
    <row r="22" spans="1:31" x14ac:dyDescent="0.2">
      <c r="A22" s="227"/>
      <c r="B22" s="227"/>
      <c r="C22" s="228" t="s">
        <v>424</v>
      </c>
      <c r="D22" s="229" t="s">
        <v>425</v>
      </c>
      <c r="E22" s="230" t="s">
        <v>95</v>
      </c>
      <c r="F22" s="231">
        <v>434.66</v>
      </c>
      <c r="G22" s="232">
        <f t="shared" si="3"/>
        <v>0.21733000000000002</v>
      </c>
      <c r="H22" s="233">
        <v>779.55</v>
      </c>
      <c r="I22" s="234">
        <v>2000</v>
      </c>
      <c r="J22" s="936">
        <f t="shared" si="4"/>
        <v>1</v>
      </c>
      <c r="K22" s="241">
        <f t="shared" si="11"/>
        <v>2000</v>
      </c>
      <c r="L22" s="236">
        <f>SUM(M22:R22)</f>
        <v>2000</v>
      </c>
      <c r="M22" s="236">
        <v>2000</v>
      </c>
      <c r="N22" s="236"/>
      <c r="O22" s="236"/>
      <c r="P22" s="236"/>
      <c r="Q22" s="236"/>
      <c r="R22" s="242"/>
      <c r="S22" s="242"/>
      <c r="T22" s="236">
        <f>SUM(U22:AD22)</f>
        <v>0</v>
      </c>
      <c r="U22" s="242"/>
      <c r="V22" s="242"/>
      <c r="W22" s="242"/>
      <c r="X22" s="242"/>
      <c r="Y22" s="242"/>
      <c r="Z22" s="242"/>
      <c r="AA22" s="242"/>
      <c r="AB22" s="242"/>
      <c r="AC22" s="242"/>
      <c r="AD22" s="242"/>
      <c r="AE22" s="242"/>
    </row>
    <row r="23" spans="1:31" x14ac:dyDescent="0.2">
      <c r="A23" s="227"/>
      <c r="B23" s="227"/>
      <c r="C23" s="228" t="s">
        <v>413</v>
      </c>
      <c r="D23" s="229" t="s">
        <v>414</v>
      </c>
      <c r="E23" s="230" t="s">
        <v>426</v>
      </c>
      <c r="F23" s="231">
        <v>48.6</v>
      </c>
      <c r="G23" s="232">
        <f t="shared" si="3"/>
        <v>0.10125000000000001</v>
      </c>
      <c r="H23" s="233">
        <v>97.2</v>
      </c>
      <c r="I23" s="234">
        <v>480</v>
      </c>
      <c r="J23" s="936">
        <f t="shared" si="4"/>
        <v>1</v>
      </c>
      <c r="K23" s="241">
        <f t="shared" si="11"/>
        <v>480</v>
      </c>
      <c r="L23" s="236">
        <f>SUM(M23:R23)</f>
        <v>480</v>
      </c>
      <c r="M23" s="236">
        <v>480</v>
      </c>
      <c r="N23" s="236"/>
      <c r="O23" s="236"/>
      <c r="P23" s="236"/>
      <c r="Q23" s="236"/>
      <c r="R23" s="242"/>
      <c r="S23" s="242"/>
      <c r="T23" s="236">
        <f>SUM(U23:AD23)</f>
        <v>0</v>
      </c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</row>
    <row r="24" spans="1:31" x14ac:dyDescent="0.2">
      <c r="A24" s="213" t="s">
        <v>62</v>
      </c>
      <c r="B24" s="213"/>
      <c r="C24" s="213"/>
      <c r="D24" s="214" t="s">
        <v>63</v>
      </c>
      <c r="E24" s="215">
        <f>E25+E29+E31+E33</f>
        <v>5667002.21</v>
      </c>
      <c r="F24" s="215">
        <f t="shared" ref="F24:AE24" si="12">F25+F29+F31+F33</f>
        <v>1849076.2400000002</v>
      </c>
      <c r="G24" s="246">
        <f t="shared" si="3"/>
        <v>0.32628825108575354</v>
      </c>
      <c r="H24" s="215">
        <f t="shared" si="12"/>
        <v>4943893.67</v>
      </c>
      <c r="I24" s="217">
        <f t="shared" si="12"/>
        <v>2102049.67</v>
      </c>
      <c r="J24" s="938">
        <f t="shared" si="4"/>
        <v>0.37092797780998216</v>
      </c>
      <c r="K24" s="924">
        <f t="shared" si="12"/>
        <v>2102049.67</v>
      </c>
      <c r="L24" s="215">
        <f t="shared" si="12"/>
        <v>2102049.67</v>
      </c>
      <c r="M24" s="215">
        <f t="shared" si="12"/>
        <v>12000</v>
      </c>
      <c r="N24" s="215">
        <f t="shared" si="12"/>
        <v>2035000</v>
      </c>
      <c r="O24" s="215">
        <f t="shared" si="12"/>
        <v>0</v>
      </c>
      <c r="P24" s="215">
        <f t="shared" si="12"/>
        <v>0</v>
      </c>
      <c r="Q24" s="215">
        <f t="shared" si="12"/>
        <v>0</v>
      </c>
      <c r="R24" s="218">
        <f>R25+R29+R31+R33</f>
        <v>55049.67</v>
      </c>
      <c r="S24" s="215">
        <f t="shared" si="12"/>
        <v>0</v>
      </c>
      <c r="T24" s="215">
        <f t="shared" si="12"/>
        <v>0</v>
      </c>
      <c r="U24" s="215">
        <f t="shared" si="12"/>
        <v>0</v>
      </c>
      <c r="V24" s="215">
        <f t="shared" si="12"/>
        <v>0</v>
      </c>
      <c r="W24" s="215">
        <f t="shared" si="12"/>
        <v>0</v>
      </c>
      <c r="X24" s="215">
        <f t="shared" si="12"/>
        <v>0</v>
      </c>
      <c r="Y24" s="215">
        <f t="shared" si="12"/>
        <v>0</v>
      </c>
      <c r="Z24" s="215">
        <f t="shared" si="12"/>
        <v>0</v>
      </c>
      <c r="AA24" s="215">
        <f t="shared" si="12"/>
        <v>0</v>
      </c>
      <c r="AB24" s="215">
        <f t="shared" si="12"/>
        <v>0</v>
      </c>
      <c r="AC24" s="215">
        <f t="shared" si="12"/>
        <v>0</v>
      </c>
      <c r="AD24" s="215">
        <f t="shared" si="12"/>
        <v>0</v>
      </c>
      <c r="AE24" s="215">
        <f t="shared" si="12"/>
        <v>0</v>
      </c>
    </row>
    <row r="25" spans="1:31" ht="15" x14ac:dyDescent="0.2">
      <c r="A25" s="219"/>
      <c r="B25" s="220" t="s">
        <v>427</v>
      </c>
      <c r="C25" s="221"/>
      <c r="D25" s="222" t="s">
        <v>428</v>
      </c>
      <c r="E25" s="223">
        <f>E26+E27+E28</f>
        <v>383800</v>
      </c>
      <c r="F25" s="223">
        <f t="shared" ref="F25:AE25" si="13">F26+F27+F28</f>
        <v>251132.56</v>
      </c>
      <c r="G25" s="238">
        <f t="shared" si="3"/>
        <v>0.65433183949973939</v>
      </c>
      <c r="H25" s="223">
        <f t="shared" si="13"/>
        <v>376698.85</v>
      </c>
      <c r="I25" s="225">
        <f t="shared" si="13"/>
        <v>420000</v>
      </c>
      <c r="J25" s="937">
        <f t="shared" si="4"/>
        <v>1.0943199583116205</v>
      </c>
      <c r="K25" s="925">
        <f t="shared" si="13"/>
        <v>420000</v>
      </c>
      <c r="L25" s="223">
        <f t="shared" si="13"/>
        <v>420000</v>
      </c>
      <c r="M25" s="223">
        <f t="shared" si="13"/>
        <v>0</v>
      </c>
      <c r="N25" s="223">
        <f t="shared" si="13"/>
        <v>420000</v>
      </c>
      <c r="O25" s="223">
        <f t="shared" si="13"/>
        <v>0</v>
      </c>
      <c r="P25" s="223">
        <f t="shared" si="13"/>
        <v>0</v>
      </c>
      <c r="Q25" s="223">
        <f t="shared" si="13"/>
        <v>0</v>
      </c>
      <c r="R25" s="226">
        <f>R26+R27+R28</f>
        <v>0</v>
      </c>
      <c r="S25" s="223">
        <f t="shared" si="13"/>
        <v>0</v>
      </c>
      <c r="T25" s="223">
        <f t="shared" si="13"/>
        <v>0</v>
      </c>
      <c r="U25" s="223">
        <f t="shared" si="13"/>
        <v>0</v>
      </c>
      <c r="V25" s="223">
        <f t="shared" si="13"/>
        <v>0</v>
      </c>
      <c r="W25" s="223">
        <f t="shared" si="13"/>
        <v>0</v>
      </c>
      <c r="X25" s="223">
        <f t="shared" si="13"/>
        <v>0</v>
      </c>
      <c r="Y25" s="223">
        <f t="shared" si="13"/>
        <v>0</v>
      </c>
      <c r="Z25" s="223">
        <f t="shared" si="13"/>
        <v>0</v>
      </c>
      <c r="AA25" s="223">
        <f t="shared" si="13"/>
        <v>0</v>
      </c>
      <c r="AB25" s="223">
        <f t="shared" si="13"/>
        <v>0</v>
      </c>
      <c r="AC25" s="223">
        <f t="shared" si="13"/>
        <v>0</v>
      </c>
      <c r="AD25" s="223">
        <f t="shared" si="13"/>
        <v>0</v>
      </c>
      <c r="AE25" s="223">
        <f t="shared" si="13"/>
        <v>0</v>
      </c>
    </row>
    <row r="26" spans="1:31" ht="33.75" x14ac:dyDescent="0.2">
      <c r="A26" s="227"/>
      <c r="B26" s="227"/>
      <c r="C26" s="228" t="s">
        <v>251</v>
      </c>
      <c r="D26" s="229" t="s">
        <v>429</v>
      </c>
      <c r="E26" s="230" t="s">
        <v>255</v>
      </c>
      <c r="F26" s="231">
        <v>196362.13</v>
      </c>
      <c r="G26" s="232">
        <f t="shared" si="3"/>
        <v>0.65454043333333334</v>
      </c>
      <c r="H26" s="233">
        <v>294543.2</v>
      </c>
      <c r="I26" s="234">
        <v>300000</v>
      </c>
      <c r="J26" s="936">
        <f t="shared" si="4"/>
        <v>1</v>
      </c>
      <c r="K26" s="241">
        <f>L26+S26+T26</f>
        <v>300000</v>
      </c>
      <c r="L26" s="236">
        <f>SUM(M26:R26)</f>
        <v>300000</v>
      </c>
      <c r="M26" s="236"/>
      <c r="N26" s="236">
        <v>300000</v>
      </c>
      <c r="O26" s="236"/>
      <c r="P26" s="236"/>
      <c r="Q26" s="236"/>
      <c r="R26" s="236"/>
      <c r="S26" s="236"/>
      <c r="T26" s="236">
        <f>SUM(U26:AD26)</f>
        <v>0</v>
      </c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</row>
    <row r="27" spans="1:31" ht="33.75" hidden="1" x14ac:dyDescent="0.2">
      <c r="A27" s="227"/>
      <c r="B27" s="227"/>
      <c r="C27" s="228" t="s">
        <v>430</v>
      </c>
      <c r="D27" s="229" t="s">
        <v>431</v>
      </c>
      <c r="E27" s="230" t="s">
        <v>39</v>
      </c>
      <c r="F27" s="231">
        <v>0</v>
      </c>
      <c r="G27" s="232" t="e">
        <f t="shared" si="3"/>
        <v>#DIV/0!</v>
      </c>
      <c r="H27" s="233">
        <v>0</v>
      </c>
      <c r="I27" s="234">
        <v>0</v>
      </c>
      <c r="J27" s="936" t="e">
        <f t="shared" si="4"/>
        <v>#DIV/0!</v>
      </c>
      <c r="K27" s="241">
        <f t="shared" ref="K27:K28" si="14">L27+S27+T27</f>
        <v>0</v>
      </c>
      <c r="L27" s="236">
        <f>SUM(M27:R27)</f>
        <v>0</v>
      </c>
      <c r="M27" s="236"/>
      <c r="N27" s="236">
        <v>0</v>
      </c>
      <c r="O27" s="236"/>
      <c r="P27" s="236"/>
      <c r="Q27" s="236"/>
      <c r="R27" s="236"/>
      <c r="S27" s="236"/>
      <c r="T27" s="236">
        <f>SUM(U27:AD27)</f>
        <v>0</v>
      </c>
      <c r="U27" s="236"/>
      <c r="V27" s="236"/>
      <c r="W27" s="236"/>
      <c r="X27" s="236"/>
      <c r="Y27" s="236"/>
      <c r="Z27" s="236"/>
      <c r="AA27" s="236"/>
      <c r="AB27" s="236"/>
      <c r="AC27" s="236"/>
      <c r="AD27" s="236"/>
      <c r="AE27" s="236"/>
    </row>
    <row r="28" spans="1:31" x14ac:dyDescent="0.2">
      <c r="A28" s="227"/>
      <c r="B28" s="227"/>
      <c r="C28" s="228" t="s">
        <v>413</v>
      </c>
      <c r="D28" s="229" t="s">
        <v>414</v>
      </c>
      <c r="E28" s="230" t="s">
        <v>432</v>
      </c>
      <c r="F28" s="231">
        <v>54770.43</v>
      </c>
      <c r="G28" s="232">
        <f t="shared" si="3"/>
        <v>0.65358508353221956</v>
      </c>
      <c r="H28" s="233">
        <v>82155.649999999994</v>
      </c>
      <c r="I28" s="234">
        <v>120000</v>
      </c>
      <c r="J28" s="936">
        <f t="shared" si="4"/>
        <v>1.431980906921241</v>
      </c>
      <c r="K28" s="241">
        <f t="shared" si="14"/>
        <v>120000</v>
      </c>
      <c r="L28" s="236">
        <f>SUM(M28:R28)</f>
        <v>120000</v>
      </c>
      <c r="M28" s="236"/>
      <c r="N28" s="236">
        <v>120000</v>
      </c>
      <c r="O28" s="236"/>
      <c r="P28" s="236"/>
      <c r="Q28" s="236"/>
      <c r="R28" s="236"/>
      <c r="S28" s="236"/>
      <c r="T28" s="236">
        <f>SUM(U28:AD28)</f>
        <v>0</v>
      </c>
      <c r="U28" s="236"/>
      <c r="V28" s="236"/>
      <c r="W28" s="236"/>
      <c r="X28" s="236"/>
      <c r="Y28" s="236"/>
      <c r="Z28" s="236"/>
      <c r="AA28" s="236"/>
      <c r="AB28" s="236"/>
      <c r="AC28" s="236"/>
      <c r="AD28" s="236"/>
      <c r="AE28" s="236"/>
    </row>
    <row r="29" spans="1:31" ht="15" x14ac:dyDescent="0.2">
      <c r="A29" s="219"/>
      <c r="B29" s="220" t="s">
        <v>64</v>
      </c>
      <c r="C29" s="221"/>
      <c r="D29" s="222" t="s">
        <v>65</v>
      </c>
      <c r="E29" s="223" t="str">
        <f>E30</f>
        <v>10 000,00</v>
      </c>
      <c r="F29" s="223">
        <f t="shared" ref="F29:AE29" si="15">F30</f>
        <v>0</v>
      </c>
      <c r="G29" s="238">
        <f t="shared" si="3"/>
        <v>0</v>
      </c>
      <c r="H29" s="223">
        <f t="shared" si="15"/>
        <v>10000</v>
      </c>
      <c r="I29" s="225">
        <f t="shared" si="15"/>
        <v>0</v>
      </c>
      <c r="J29" s="937">
        <f t="shared" si="4"/>
        <v>0</v>
      </c>
      <c r="K29" s="925">
        <f t="shared" si="15"/>
        <v>0</v>
      </c>
      <c r="L29" s="223">
        <f t="shared" si="15"/>
        <v>0</v>
      </c>
      <c r="M29" s="223">
        <f t="shared" si="15"/>
        <v>0</v>
      </c>
      <c r="N29" s="223">
        <f t="shared" si="15"/>
        <v>0</v>
      </c>
      <c r="O29" s="223">
        <f t="shared" si="15"/>
        <v>0</v>
      </c>
      <c r="P29" s="223">
        <f t="shared" si="15"/>
        <v>0</v>
      </c>
      <c r="Q29" s="223">
        <f t="shared" si="15"/>
        <v>0</v>
      </c>
      <c r="R29" s="226">
        <f>R30</f>
        <v>0</v>
      </c>
      <c r="S29" s="223">
        <f t="shared" si="15"/>
        <v>0</v>
      </c>
      <c r="T29" s="223">
        <f t="shared" si="15"/>
        <v>0</v>
      </c>
      <c r="U29" s="223">
        <f t="shared" si="15"/>
        <v>0</v>
      </c>
      <c r="V29" s="223">
        <f t="shared" si="15"/>
        <v>0</v>
      </c>
      <c r="W29" s="223">
        <f t="shared" si="15"/>
        <v>0</v>
      </c>
      <c r="X29" s="223">
        <f t="shared" si="15"/>
        <v>0</v>
      </c>
      <c r="Y29" s="223">
        <f t="shared" si="15"/>
        <v>0</v>
      </c>
      <c r="Z29" s="223">
        <f t="shared" si="15"/>
        <v>0</v>
      </c>
      <c r="AA29" s="223">
        <f t="shared" si="15"/>
        <v>0</v>
      </c>
      <c r="AB29" s="223">
        <f t="shared" si="15"/>
        <v>0</v>
      </c>
      <c r="AC29" s="223">
        <f t="shared" si="15"/>
        <v>0</v>
      </c>
      <c r="AD29" s="223">
        <f t="shared" si="15"/>
        <v>0</v>
      </c>
      <c r="AE29" s="223">
        <f t="shared" si="15"/>
        <v>0</v>
      </c>
    </row>
    <row r="30" spans="1:31" x14ac:dyDescent="0.2">
      <c r="A30" s="227"/>
      <c r="B30" s="227"/>
      <c r="C30" s="228" t="s">
        <v>413</v>
      </c>
      <c r="D30" s="229" t="s">
        <v>414</v>
      </c>
      <c r="E30" s="230" t="s">
        <v>68</v>
      </c>
      <c r="F30" s="231">
        <v>0</v>
      </c>
      <c r="G30" s="232">
        <f t="shared" si="3"/>
        <v>0</v>
      </c>
      <c r="H30" s="233">
        <v>10000</v>
      </c>
      <c r="I30" s="234">
        <v>0</v>
      </c>
      <c r="J30" s="936">
        <f t="shared" si="4"/>
        <v>0</v>
      </c>
      <c r="K30" s="241">
        <f>L30+S30+T30</f>
        <v>0</v>
      </c>
      <c r="L30" s="236">
        <f>SUM(M30:R30)</f>
        <v>0</v>
      </c>
      <c r="M30" s="236"/>
      <c r="N30" s="236"/>
      <c r="O30" s="236"/>
      <c r="P30" s="236"/>
      <c r="Q30" s="236"/>
      <c r="R30" s="236"/>
      <c r="S30" s="236"/>
      <c r="T30" s="236">
        <f>SUM(U30:AD30)</f>
        <v>0</v>
      </c>
      <c r="U30" s="236"/>
      <c r="V30" s="236"/>
      <c r="W30" s="236"/>
      <c r="X30" s="236"/>
      <c r="Y30" s="236"/>
      <c r="Z30" s="236"/>
      <c r="AA30" s="236"/>
      <c r="AB30" s="236"/>
      <c r="AC30" s="236"/>
      <c r="AD30" s="236"/>
      <c r="AE30" s="236"/>
    </row>
    <row r="31" spans="1:31" ht="15" x14ac:dyDescent="0.2">
      <c r="A31" s="219"/>
      <c r="B31" s="220" t="s">
        <v>433</v>
      </c>
      <c r="C31" s="221"/>
      <c r="D31" s="222" t="s">
        <v>434</v>
      </c>
      <c r="E31" s="223" t="str">
        <f>E32</f>
        <v>308 476,00</v>
      </c>
      <c r="F31" s="223">
        <f t="shared" ref="F31:AE31" si="16">F32</f>
        <v>217143</v>
      </c>
      <c r="G31" s="238">
        <f t="shared" si="3"/>
        <v>0.70392186101998211</v>
      </c>
      <c r="H31" s="223">
        <f t="shared" si="16"/>
        <v>261476</v>
      </c>
      <c r="I31" s="225">
        <f t="shared" si="16"/>
        <v>0</v>
      </c>
      <c r="J31" s="937">
        <f t="shared" si="4"/>
        <v>0</v>
      </c>
      <c r="K31" s="925">
        <f t="shared" si="16"/>
        <v>0</v>
      </c>
      <c r="L31" s="223">
        <f t="shared" si="16"/>
        <v>0</v>
      </c>
      <c r="M31" s="223">
        <f t="shared" si="16"/>
        <v>0</v>
      </c>
      <c r="N31" s="223">
        <f t="shared" si="16"/>
        <v>0</v>
      </c>
      <c r="O31" s="223">
        <f t="shared" si="16"/>
        <v>0</v>
      </c>
      <c r="P31" s="223">
        <f t="shared" si="16"/>
        <v>0</v>
      </c>
      <c r="Q31" s="223">
        <f t="shared" si="16"/>
        <v>0</v>
      </c>
      <c r="R31" s="226">
        <f>R32</f>
        <v>0</v>
      </c>
      <c r="S31" s="223">
        <f t="shared" si="16"/>
        <v>0</v>
      </c>
      <c r="T31" s="223">
        <f t="shared" si="16"/>
        <v>0</v>
      </c>
      <c r="U31" s="223">
        <f t="shared" si="16"/>
        <v>0</v>
      </c>
      <c r="V31" s="223">
        <f t="shared" si="16"/>
        <v>0</v>
      </c>
      <c r="W31" s="223">
        <f t="shared" si="16"/>
        <v>0</v>
      </c>
      <c r="X31" s="223">
        <f t="shared" si="16"/>
        <v>0</v>
      </c>
      <c r="Y31" s="223">
        <f t="shared" si="16"/>
        <v>0</v>
      </c>
      <c r="Z31" s="223">
        <f t="shared" si="16"/>
        <v>0</v>
      </c>
      <c r="AA31" s="223">
        <f t="shared" si="16"/>
        <v>0</v>
      </c>
      <c r="AB31" s="223">
        <f t="shared" si="16"/>
        <v>0</v>
      </c>
      <c r="AC31" s="223">
        <f t="shared" si="16"/>
        <v>0</v>
      </c>
      <c r="AD31" s="223">
        <f t="shared" si="16"/>
        <v>0</v>
      </c>
      <c r="AE31" s="223">
        <f t="shared" si="16"/>
        <v>0</v>
      </c>
    </row>
    <row r="32" spans="1:31" ht="45" x14ac:dyDescent="0.2">
      <c r="A32" s="227"/>
      <c r="B32" s="227"/>
      <c r="C32" s="228" t="s">
        <v>37</v>
      </c>
      <c r="D32" s="229" t="s">
        <v>435</v>
      </c>
      <c r="E32" s="230" t="s">
        <v>436</v>
      </c>
      <c r="F32" s="231">
        <v>217143</v>
      </c>
      <c r="G32" s="232">
        <f t="shared" si="3"/>
        <v>0.70392186101998211</v>
      </c>
      <c r="H32" s="233">
        <v>261476</v>
      </c>
      <c r="I32" s="234">
        <v>0</v>
      </c>
      <c r="J32" s="936">
        <f t="shared" si="4"/>
        <v>0</v>
      </c>
      <c r="K32" s="241">
        <f>L32+S32+T32</f>
        <v>0</v>
      </c>
      <c r="L32" s="236">
        <f>SUM(M32:R32)</f>
        <v>0</v>
      </c>
      <c r="M32" s="236"/>
      <c r="N32" s="236"/>
      <c r="O32" s="236"/>
      <c r="P32" s="236"/>
      <c r="Q32" s="236"/>
      <c r="R32" s="236"/>
      <c r="S32" s="236"/>
      <c r="T32" s="236"/>
      <c r="U32" s="236"/>
      <c r="V32" s="236"/>
      <c r="W32" s="236"/>
      <c r="X32" s="236"/>
      <c r="Y32" s="236"/>
      <c r="Z32" s="236"/>
      <c r="AA32" s="236"/>
      <c r="AB32" s="236"/>
      <c r="AC32" s="236"/>
      <c r="AD32" s="236"/>
      <c r="AE32" s="236"/>
    </row>
    <row r="33" spans="1:31" ht="15" x14ac:dyDescent="0.2">
      <c r="A33" s="219"/>
      <c r="B33" s="220" t="s">
        <v>69</v>
      </c>
      <c r="C33" s="221"/>
      <c r="D33" s="222" t="s">
        <v>70</v>
      </c>
      <c r="E33" s="223">
        <f>E34+E35+E36+E37+E38</f>
        <v>4964726.21</v>
      </c>
      <c r="F33" s="223">
        <f t="shared" ref="F33:AE33" si="17">F34+F35+F36+F37+F38</f>
        <v>1380800.6800000002</v>
      </c>
      <c r="G33" s="238">
        <f t="shared" si="3"/>
        <v>0.27812222096331879</v>
      </c>
      <c r="H33" s="223">
        <f t="shared" si="17"/>
        <v>4295718.82</v>
      </c>
      <c r="I33" s="225">
        <f t="shared" si="17"/>
        <v>1682049.67</v>
      </c>
      <c r="J33" s="937">
        <f t="shared" si="4"/>
        <v>0.33880008662149369</v>
      </c>
      <c r="K33" s="925">
        <f t="shared" si="17"/>
        <v>1682049.67</v>
      </c>
      <c r="L33" s="223">
        <f t="shared" si="17"/>
        <v>1682049.67</v>
      </c>
      <c r="M33" s="223">
        <f t="shared" si="17"/>
        <v>12000</v>
      </c>
      <c r="N33" s="247">
        <f t="shared" si="17"/>
        <v>1615000</v>
      </c>
      <c r="O33" s="223">
        <f t="shared" si="17"/>
        <v>0</v>
      </c>
      <c r="P33" s="223">
        <f t="shared" si="17"/>
        <v>0</v>
      </c>
      <c r="Q33" s="223">
        <f t="shared" si="17"/>
        <v>0</v>
      </c>
      <c r="R33" s="226">
        <f>R34+R35+R36+R37+R38</f>
        <v>55049.67</v>
      </c>
      <c r="S33" s="223">
        <f t="shared" si="17"/>
        <v>0</v>
      </c>
      <c r="T33" s="223">
        <f t="shared" si="17"/>
        <v>0</v>
      </c>
      <c r="U33" s="223">
        <f t="shared" si="17"/>
        <v>0</v>
      </c>
      <c r="V33" s="223">
        <f t="shared" si="17"/>
        <v>0</v>
      </c>
      <c r="W33" s="223">
        <f t="shared" si="17"/>
        <v>0</v>
      </c>
      <c r="X33" s="223">
        <f t="shared" si="17"/>
        <v>0</v>
      </c>
      <c r="Y33" s="223">
        <f t="shared" si="17"/>
        <v>0</v>
      </c>
      <c r="Z33" s="223">
        <f t="shared" si="17"/>
        <v>0</v>
      </c>
      <c r="AA33" s="223">
        <f t="shared" si="17"/>
        <v>0</v>
      </c>
      <c r="AB33" s="223">
        <f t="shared" si="17"/>
        <v>0</v>
      </c>
      <c r="AC33" s="223">
        <f t="shared" si="17"/>
        <v>0</v>
      </c>
      <c r="AD33" s="223">
        <f t="shared" si="17"/>
        <v>0</v>
      </c>
      <c r="AE33" s="223">
        <f t="shared" si="17"/>
        <v>0</v>
      </c>
    </row>
    <row r="34" spans="1:31" x14ac:dyDescent="0.2">
      <c r="A34" s="227"/>
      <c r="B34" s="227"/>
      <c r="C34" s="228" t="s">
        <v>410</v>
      </c>
      <c r="D34" s="229" t="s">
        <v>411</v>
      </c>
      <c r="E34" s="230" t="s">
        <v>437</v>
      </c>
      <c r="F34" s="231">
        <v>22625.18</v>
      </c>
      <c r="G34" s="232">
        <f t="shared" si="3"/>
        <v>0.54407383858894454</v>
      </c>
      <c r="H34" s="233">
        <v>40084.76</v>
      </c>
      <c r="I34" s="234">
        <v>51800</v>
      </c>
      <c r="J34" s="936">
        <f t="shared" si="4"/>
        <v>1.245648646282917</v>
      </c>
      <c r="K34" s="241">
        <f>L34+S34+T34</f>
        <v>51800</v>
      </c>
      <c r="L34" s="236">
        <f>SUM(M34:R34)</f>
        <v>51800</v>
      </c>
      <c r="M34" s="236">
        <v>12000</v>
      </c>
      <c r="N34" s="236">
        <v>20000</v>
      </c>
      <c r="O34" s="236"/>
      <c r="P34" s="236"/>
      <c r="Q34" s="236"/>
      <c r="R34" s="236">
        <v>19800</v>
      </c>
      <c r="S34" s="236"/>
      <c r="T34" s="236">
        <f>SUM(U34:AD34)</f>
        <v>0</v>
      </c>
      <c r="U34" s="236"/>
      <c r="V34" s="236"/>
      <c r="W34" s="236"/>
      <c r="X34" s="236"/>
      <c r="Y34" s="236"/>
      <c r="Z34" s="236"/>
      <c r="AA34" s="236"/>
      <c r="AB34" s="236"/>
      <c r="AC34" s="236"/>
      <c r="AD34" s="236"/>
      <c r="AE34" s="236"/>
    </row>
    <row r="35" spans="1:31" x14ac:dyDescent="0.2">
      <c r="A35" s="227"/>
      <c r="B35" s="227"/>
      <c r="C35" s="228" t="s">
        <v>438</v>
      </c>
      <c r="D35" s="229" t="s">
        <v>439</v>
      </c>
      <c r="E35" s="230" t="s">
        <v>440</v>
      </c>
      <c r="F35" s="231">
        <v>95042.61</v>
      </c>
      <c r="G35" s="232">
        <f t="shared" si="3"/>
        <v>0.55257331395348841</v>
      </c>
      <c r="H35" s="233">
        <f>95042.61+25000+10000+18450+4000+10000</f>
        <v>162492.60999999999</v>
      </c>
      <c r="I35" s="234">
        <v>108000</v>
      </c>
      <c r="J35" s="936">
        <f t="shared" si="4"/>
        <v>0.62790697674418605</v>
      </c>
      <c r="K35" s="241">
        <f t="shared" ref="K35:K38" si="18">L35+S35+T35</f>
        <v>108000</v>
      </c>
      <c r="L35" s="236">
        <f>SUM(M35:R35)</f>
        <v>108000</v>
      </c>
      <c r="M35" s="236"/>
      <c r="N35" s="236">
        <v>108000</v>
      </c>
      <c r="O35" s="236"/>
      <c r="P35" s="236"/>
      <c r="Q35" s="236"/>
      <c r="R35" s="236"/>
      <c r="S35" s="236"/>
      <c r="T35" s="236">
        <f>SUM(U35:AD35)</f>
        <v>0</v>
      </c>
      <c r="U35" s="236"/>
      <c r="V35" s="236"/>
      <c r="W35" s="236"/>
      <c r="X35" s="236"/>
      <c r="Y35" s="236"/>
      <c r="Z35" s="236"/>
      <c r="AA35" s="236"/>
      <c r="AB35" s="236"/>
      <c r="AC35" s="236"/>
      <c r="AD35" s="236"/>
      <c r="AE35" s="236"/>
    </row>
    <row r="36" spans="1:31" x14ac:dyDescent="0.2">
      <c r="A36" s="227"/>
      <c r="B36" s="227"/>
      <c r="C36" s="228" t="s">
        <v>413</v>
      </c>
      <c r="D36" s="229" t="s">
        <v>414</v>
      </c>
      <c r="E36" s="230" t="s">
        <v>441</v>
      </c>
      <c r="F36" s="231">
        <v>826672.76</v>
      </c>
      <c r="G36" s="232">
        <f t="shared" si="3"/>
        <v>0.62939445073855405</v>
      </c>
      <c r="H36" s="233">
        <v>1313441.45</v>
      </c>
      <c r="I36" s="234">
        <v>760249.67</v>
      </c>
      <c r="J36" s="936">
        <f t="shared" si="4"/>
        <v>0.57882265707390312</v>
      </c>
      <c r="K36" s="241">
        <f t="shared" si="18"/>
        <v>760249.67</v>
      </c>
      <c r="L36" s="236">
        <f>SUM(M36:R36)</f>
        <v>760249.67</v>
      </c>
      <c r="M36" s="236"/>
      <c r="N36" s="236">
        <f>200000+20000+15000+200000+20000+130000+60000+10000+70000</f>
        <v>725000</v>
      </c>
      <c r="O36" s="236"/>
      <c r="P36" s="236"/>
      <c r="Q36" s="236"/>
      <c r="R36" s="236">
        <f>7249.67+28000</f>
        <v>35249.67</v>
      </c>
      <c r="S36" s="236"/>
      <c r="T36" s="236">
        <f>SUM(U36:AD36)</f>
        <v>0</v>
      </c>
      <c r="U36" s="236"/>
      <c r="V36" s="236"/>
      <c r="W36" s="236"/>
      <c r="X36" s="236"/>
      <c r="Y36" s="236"/>
      <c r="Z36" s="236"/>
      <c r="AA36" s="236"/>
      <c r="AB36" s="236"/>
      <c r="AC36" s="236"/>
      <c r="AD36" s="236"/>
      <c r="AE36" s="236"/>
    </row>
    <row r="37" spans="1:31" x14ac:dyDescent="0.2">
      <c r="A37" s="227"/>
      <c r="B37" s="227"/>
      <c r="C37" s="228" t="s">
        <v>416</v>
      </c>
      <c r="D37" s="229" t="s">
        <v>417</v>
      </c>
      <c r="E37" s="230" t="s">
        <v>442</v>
      </c>
      <c r="F37" s="231">
        <v>16009.52</v>
      </c>
      <c r="G37" s="232">
        <f t="shared" si="3"/>
        <v>0.43268972972972974</v>
      </c>
      <c r="H37" s="233">
        <v>37000</v>
      </c>
      <c r="I37" s="234">
        <v>12000</v>
      </c>
      <c r="J37" s="936">
        <f t="shared" si="4"/>
        <v>0.32432432432432434</v>
      </c>
      <c r="K37" s="241">
        <f t="shared" si="18"/>
        <v>12000</v>
      </c>
      <c r="L37" s="236">
        <f>SUM(M37:R37)</f>
        <v>12000</v>
      </c>
      <c r="M37" s="236"/>
      <c r="N37" s="236">
        <v>12000</v>
      </c>
      <c r="O37" s="236"/>
      <c r="P37" s="236"/>
      <c r="Q37" s="236"/>
      <c r="R37" s="236"/>
      <c r="S37" s="236"/>
      <c r="T37" s="236">
        <f>SUM(U37:AD37)</f>
        <v>0</v>
      </c>
      <c r="U37" s="236"/>
      <c r="V37" s="236"/>
      <c r="W37" s="236"/>
      <c r="X37" s="236"/>
      <c r="Y37" s="236"/>
      <c r="Z37" s="236"/>
      <c r="AA37" s="236"/>
      <c r="AB37" s="236"/>
      <c r="AC37" s="236"/>
      <c r="AD37" s="236"/>
      <c r="AE37" s="236"/>
    </row>
    <row r="38" spans="1:31" x14ac:dyDescent="0.2">
      <c r="A38" s="227"/>
      <c r="B38" s="227"/>
      <c r="C38" s="228" t="s">
        <v>443</v>
      </c>
      <c r="D38" s="229" t="s">
        <v>444</v>
      </c>
      <c r="E38" s="230" t="s">
        <v>445</v>
      </c>
      <c r="F38" s="231">
        <v>420450.61</v>
      </c>
      <c r="G38" s="232">
        <f t="shared" si="3"/>
        <v>0.12363648954626988</v>
      </c>
      <c r="H38" s="233">
        <f>3400700-635000-23000</f>
        <v>2742700</v>
      </c>
      <c r="I38" s="234">
        <f>K38</f>
        <v>750000</v>
      </c>
      <c r="J38" s="936">
        <f t="shared" si="4"/>
        <v>0.22054282941747289</v>
      </c>
      <c r="K38" s="241">
        <f t="shared" si="18"/>
        <v>750000</v>
      </c>
      <c r="L38" s="236">
        <f>SUM(M38:R38)</f>
        <v>750000</v>
      </c>
      <c r="M38" s="236"/>
      <c r="N38" s="236">
        <f>750000</f>
        <v>750000</v>
      </c>
      <c r="O38" s="236"/>
      <c r="P38" s="236"/>
      <c r="Q38" s="236"/>
      <c r="R38" s="236"/>
      <c r="S38" s="236"/>
      <c r="T38" s="236">
        <f>SUM(U38:AD38)</f>
        <v>0</v>
      </c>
      <c r="U38" s="236"/>
      <c r="V38" s="236"/>
      <c r="W38" s="236"/>
      <c r="X38" s="236"/>
      <c r="Y38" s="236"/>
      <c r="Z38" s="236"/>
      <c r="AA38" s="236"/>
      <c r="AB38" s="236"/>
      <c r="AC38" s="236"/>
      <c r="AD38" s="236"/>
      <c r="AE38" s="236"/>
    </row>
    <row r="39" spans="1:31" x14ac:dyDescent="0.2">
      <c r="A39" s="213" t="s">
        <v>446</v>
      </c>
      <c r="B39" s="213"/>
      <c r="C39" s="213"/>
      <c r="D39" s="214" t="s">
        <v>447</v>
      </c>
      <c r="E39" s="215">
        <f>E40</f>
        <v>46600</v>
      </c>
      <c r="F39" s="215">
        <f t="shared" ref="F39:AE39" si="19">F40</f>
        <v>26817.42</v>
      </c>
      <c r="G39" s="246">
        <f t="shared" si="3"/>
        <v>0.57548111587982831</v>
      </c>
      <c r="H39" s="215">
        <f t="shared" si="19"/>
        <v>46456.89</v>
      </c>
      <c r="I39" s="217">
        <f t="shared" si="19"/>
        <v>128791</v>
      </c>
      <c r="J39" s="938">
        <f t="shared" si="4"/>
        <v>2.7637553648068671</v>
      </c>
      <c r="K39" s="924">
        <f t="shared" si="19"/>
        <v>128791</v>
      </c>
      <c r="L39" s="215">
        <f t="shared" si="19"/>
        <v>128791</v>
      </c>
      <c r="M39" s="215">
        <f t="shared" si="19"/>
        <v>0</v>
      </c>
      <c r="N39" s="215">
        <f t="shared" si="19"/>
        <v>116000</v>
      </c>
      <c r="O39" s="215">
        <f t="shared" si="19"/>
        <v>0</v>
      </c>
      <c r="P39" s="215">
        <f t="shared" si="19"/>
        <v>0</v>
      </c>
      <c r="Q39" s="215">
        <f t="shared" si="19"/>
        <v>0</v>
      </c>
      <c r="R39" s="218">
        <f>R40</f>
        <v>12791</v>
      </c>
      <c r="S39" s="215">
        <f t="shared" si="19"/>
        <v>0</v>
      </c>
      <c r="T39" s="215">
        <f t="shared" si="19"/>
        <v>0</v>
      </c>
      <c r="U39" s="215">
        <f t="shared" si="19"/>
        <v>0</v>
      </c>
      <c r="V39" s="215">
        <f t="shared" si="19"/>
        <v>0</v>
      </c>
      <c r="W39" s="215">
        <f t="shared" si="19"/>
        <v>0</v>
      </c>
      <c r="X39" s="215">
        <f t="shared" si="19"/>
        <v>0</v>
      </c>
      <c r="Y39" s="215">
        <f t="shared" si="19"/>
        <v>0</v>
      </c>
      <c r="Z39" s="215">
        <f t="shared" si="19"/>
        <v>0</v>
      </c>
      <c r="AA39" s="215">
        <f t="shared" si="19"/>
        <v>0</v>
      </c>
      <c r="AB39" s="215">
        <f t="shared" si="19"/>
        <v>0</v>
      </c>
      <c r="AC39" s="215">
        <f t="shared" si="19"/>
        <v>0</v>
      </c>
      <c r="AD39" s="215">
        <f t="shared" si="19"/>
        <v>0</v>
      </c>
      <c r="AE39" s="215">
        <f t="shared" si="19"/>
        <v>0</v>
      </c>
    </row>
    <row r="40" spans="1:31" ht="15" x14ac:dyDescent="0.2">
      <c r="A40" s="219"/>
      <c r="B40" s="220" t="s">
        <v>448</v>
      </c>
      <c r="C40" s="221"/>
      <c r="D40" s="222" t="s">
        <v>41</v>
      </c>
      <c r="E40" s="223">
        <f>E41+E42+E43+E44</f>
        <v>46600</v>
      </c>
      <c r="F40" s="223">
        <f t="shared" ref="F40:AE40" si="20">F41+F42+F43+F44</f>
        <v>26817.42</v>
      </c>
      <c r="G40" s="238">
        <f t="shared" si="3"/>
        <v>0.57548111587982831</v>
      </c>
      <c r="H40" s="223">
        <f t="shared" si="20"/>
        <v>46456.89</v>
      </c>
      <c r="I40" s="225">
        <f t="shared" si="20"/>
        <v>128791</v>
      </c>
      <c r="J40" s="937">
        <f t="shared" si="4"/>
        <v>2.7637553648068671</v>
      </c>
      <c r="K40" s="925">
        <f t="shared" si="20"/>
        <v>128791</v>
      </c>
      <c r="L40" s="223">
        <f t="shared" si="20"/>
        <v>128791</v>
      </c>
      <c r="M40" s="223">
        <f t="shared" si="20"/>
        <v>0</v>
      </c>
      <c r="N40" s="223">
        <f t="shared" si="20"/>
        <v>116000</v>
      </c>
      <c r="O40" s="223">
        <f t="shared" si="20"/>
        <v>0</v>
      </c>
      <c r="P40" s="223">
        <f t="shared" si="20"/>
        <v>0</v>
      </c>
      <c r="Q40" s="223">
        <f t="shared" si="20"/>
        <v>0</v>
      </c>
      <c r="R40" s="226">
        <f>R41+R42+R43+R44</f>
        <v>12791</v>
      </c>
      <c r="S40" s="223">
        <f t="shared" si="20"/>
        <v>0</v>
      </c>
      <c r="T40" s="223">
        <f t="shared" si="20"/>
        <v>0</v>
      </c>
      <c r="U40" s="223">
        <f t="shared" si="20"/>
        <v>0</v>
      </c>
      <c r="V40" s="223">
        <f t="shared" si="20"/>
        <v>0</v>
      </c>
      <c r="W40" s="223">
        <f t="shared" si="20"/>
        <v>0</v>
      </c>
      <c r="X40" s="223">
        <f t="shared" si="20"/>
        <v>0</v>
      </c>
      <c r="Y40" s="223">
        <f t="shared" si="20"/>
        <v>0</v>
      </c>
      <c r="Z40" s="223">
        <f t="shared" si="20"/>
        <v>0</v>
      </c>
      <c r="AA40" s="223">
        <f t="shared" si="20"/>
        <v>0</v>
      </c>
      <c r="AB40" s="223">
        <f t="shared" si="20"/>
        <v>0</v>
      </c>
      <c r="AC40" s="223">
        <f t="shared" si="20"/>
        <v>0</v>
      </c>
      <c r="AD40" s="223">
        <f t="shared" si="20"/>
        <v>0</v>
      </c>
      <c r="AE40" s="223">
        <f t="shared" si="20"/>
        <v>0</v>
      </c>
    </row>
    <row r="41" spans="1:31" x14ac:dyDescent="0.2">
      <c r="A41" s="227"/>
      <c r="B41" s="227"/>
      <c r="C41" s="228" t="s">
        <v>410</v>
      </c>
      <c r="D41" s="229" t="s">
        <v>411</v>
      </c>
      <c r="E41" s="230" t="s">
        <v>449</v>
      </c>
      <c r="F41" s="231">
        <v>7519.85</v>
      </c>
      <c r="G41" s="232">
        <f t="shared" si="3"/>
        <v>0.4042930107526882</v>
      </c>
      <c r="H41" s="233">
        <v>18600</v>
      </c>
      <c r="I41" s="234">
        <f>K41</f>
        <v>17291</v>
      </c>
      <c r="J41" s="936">
        <f t="shared" si="4"/>
        <v>0.92962365591397844</v>
      </c>
      <c r="K41" s="241">
        <f>L41+S41+T41</f>
        <v>17291</v>
      </c>
      <c r="L41" s="236">
        <f>SUM(M41:R41)</f>
        <v>17291</v>
      </c>
      <c r="M41" s="236"/>
      <c r="N41" s="236">
        <v>6000</v>
      </c>
      <c r="O41" s="236"/>
      <c r="P41" s="236"/>
      <c r="Q41" s="236"/>
      <c r="R41" s="236">
        <v>11291</v>
      </c>
      <c r="S41" s="236"/>
      <c r="T41" s="236">
        <f>SUM(U41:AD41)</f>
        <v>0</v>
      </c>
      <c r="U41" s="236"/>
      <c r="V41" s="236"/>
      <c r="W41" s="236"/>
      <c r="X41" s="236"/>
      <c r="Y41" s="236"/>
      <c r="Z41" s="236"/>
      <c r="AA41" s="236"/>
      <c r="AB41" s="236"/>
      <c r="AC41" s="236"/>
      <c r="AD41" s="236"/>
      <c r="AE41" s="236"/>
    </row>
    <row r="42" spans="1:31" x14ac:dyDescent="0.2">
      <c r="A42" s="227"/>
      <c r="B42" s="227"/>
      <c r="C42" s="228" t="s">
        <v>413</v>
      </c>
      <c r="D42" s="229" t="s">
        <v>414</v>
      </c>
      <c r="E42" s="230" t="s">
        <v>450</v>
      </c>
      <c r="F42" s="231">
        <v>18999.900000000001</v>
      </c>
      <c r="G42" s="232">
        <f t="shared" si="3"/>
        <v>0.6909054545454546</v>
      </c>
      <c r="H42" s="233">
        <v>27500</v>
      </c>
      <c r="I42" s="234">
        <f t="shared" ref="I42:I44" si="21">K42</f>
        <v>111500</v>
      </c>
      <c r="J42" s="936">
        <f t="shared" si="4"/>
        <v>4.0545454545454547</v>
      </c>
      <c r="K42" s="241">
        <f t="shared" ref="K42:K44" si="22">L42+S42+T42</f>
        <v>111500</v>
      </c>
      <c r="L42" s="236">
        <f>SUM(M42:R42)</f>
        <v>111500</v>
      </c>
      <c r="M42" s="236"/>
      <c r="N42" s="236">
        <v>110000</v>
      </c>
      <c r="O42" s="236"/>
      <c r="P42" s="236"/>
      <c r="Q42" s="236"/>
      <c r="R42" s="236">
        <v>1500</v>
      </c>
      <c r="S42" s="236"/>
      <c r="T42" s="236">
        <f>SUM(U42:AD42)</f>
        <v>0</v>
      </c>
      <c r="U42" s="236"/>
      <c r="V42" s="236"/>
      <c r="W42" s="236"/>
      <c r="X42" s="236"/>
      <c r="Y42" s="236"/>
      <c r="Z42" s="236"/>
      <c r="AA42" s="236"/>
      <c r="AB42" s="236"/>
      <c r="AC42" s="236"/>
      <c r="AD42" s="236"/>
      <c r="AE42" s="236"/>
    </row>
    <row r="43" spans="1:31" x14ac:dyDescent="0.2">
      <c r="A43" s="227"/>
      <c r="B43" s="227"/>
      <c r="C43" s="228" t="s">
        <v>451</v>
      </c>
      <c r="D43" s="229" t="s">
        <v>452</v>
      </c>
      <c r="E43" s="230" t="s">
        <v>453</v>
      </c>
      <c r="F43" s="231">
        <v>297.67</v>
      </c>
      <c r="G43" s="232">
        <f t="shared" si="3"/>
        <v>0.59533999999999998</v>
      </c>
      <c r="H43" s="233">
        <v>356.89</v>
      </c>
      <c r="I43" s="234">
        <f t="shared" si="21"/>
        <v>0</v>
      </c>
      <c r="J43" s="936">
        <f t="shared" si="4"/>
        <v>0</v>
      </c>
      <c r="K43" s="241">
        <f t="shared" si="22"/>
        <v>0</v>
      </c>
      <c r="L43" s="236">
        <f>SUM(M43:R43)</f>
        <v>0</v>
      </c>
      <c r="M43" s="236"/>
      <c r="N43" s="236"/>
      <c r="O43" s="236"/>
      <c r="P43" s="236"/>
      <c r="Q43" s="236"/>
      <c r="R43" s="236"/>
      <c r="S43" s="236"/>
      <c r="T43" s="236">
        <f>SUM(U43:AD43)</f>
        <v>0</v>
      </c>
      <c r="U43" s="236"/>
      <c r="V43" s="236"/>
      <c r="W43" s="236"/>
      <c r="X43" s="236"/>
      <c r="Y43" s="236"/>
      <c r="Z43" s="236"/>
      <c r="AA43" s="236"/>
      <c r="AB43" s="236"/>
      <c r="AC43" s="236"/>
      <c r="AD43" s="236"/>
      <c r="AE43" s="236"/>
    </row>
    <row r="44" spans="1:31" hidden="1" x14ac:dyDescent="0.2">
      <c r="A44" s="227"/>
      <c r="B44" s="227"/>
      <c r="C44" s="228" t="s">
        <v>454</v>
      </c>
      <c r="D44" s="229" t="s">
        <v>455</v>
      </c>
      <c r="E44" s="230" t="s">
        <v>39</v>
      </c>
      <c r="F44" s="231">
        <v>0</v>
      </c>
      <c r="G44" s="232">
        <v>0</v>
      </c>
      <c r="H44" s="233">
        <v>0</v>
      </c>
      <c r="I44" s="234">
        <f t="shared" si="21"/>
        <v>0</v>
      </c>
      <c r="J44" s="936" t="e">
        <f t="shared" si="4"/>
        <v>#DIV/0!</v>
      </c>
      <c r="K44" s="241">
        <f t="shared" si="22"/>
        <v>0</v>
      </c>
      <c r="L44" s="236">
        <f>SUM(M44:R44)</f>
        <v>0</v>
      </c>
      <c r="M44" s="236"/>
      <c r="N44" s="236"/>
      <c r="O44" s="236"/>
      <c r="P44" s="236"/>
      <c r="Q44" s="236"/>
      <c r="R44" s="236"/>
      <c r="S44" s="236"/>
      <c r="T44" s="236">
        <f>SUM(U44:AD44)</f>
        <v>0</v>
      </c>
      <c r="U44" s="236"/>
      <c r="V44" s="236"/>
      <c r="W44" s="236"/>
      <c r="X44" s="236"/>
      <c r="Y44" s="236"/>
      <c r="Z44" s="236"/>
      <c r="AA44" s="236"/>
      <c r="AB44" s="236"/>
      <c r="AC44" s="236"/>
      <c r="AD44" s="236"/>
      <c r="AE44" s="236"/>
    </row>
    <row r="45" spans="1:31" x14ac:dyDescent="0.2">
      <c r="A45" s="213" t="s">
        <v>79</v>
      </c>
      <c r="B45" s="213"/>
      <c r="C45" s="213"/>
      <c r="D45" s="214" t="s">
        <v>80</v>
      </c>
      <c r="E45" s="215">
        <f>E46+E48</f>
        <v>3764660.85</v>
      </c>
      <c r="F45" s="215">
        <f t="shared" ref="F45:AE45" si="23">F46+F48</f>
        <v>2798800.03</v>
      </c>
      <c r="G45" s="246">
        <f t="shared" si="3"/>
        <v>0.74344015079074111</v>
      </c>
      <c r="H45" s="215">
        <f t="shared" si="23"/>
        <v>3636379.75</v>
      </c>
      <c r="I45" s="217">
        <f t="shared" si="23"/>
        <v>1066787.69</v>
      </c>
      <c r="J45" s="938">
        <f t="shared" si="4"/>
        <v>0.28336886973497227</v>
      </c>
      <c r="K45" s="924">
        <f t="shared" si="23"/>
        <v>1086787.69</v>
      </c>
      <c r="L45" s="215">
        <f t="shared" si="23"/>
        <v>1086787.69</v>
      </c>
      <c r="M45" s="215">
        <f t="shared" si="23"/>
        <v>501200</v>
      </c>
      <c r="N45" s="215">
        <f t="shared" si="23"/>
        <v>0</v>
      </c>
      <c r="O45" s="215">
        <f t="shared" si="23"/>
        <v>135000</v>
      </c>
      <c r="P45" s="215">
        <f t="shared" si="23"/>
        <v>450587.69</v>
      </c>
      <c r="Q45" s="215">
        <f t="shared" si="23"/>
        <v>0</v>
      </c>
      <c r="R45" s="218">
        <f>R46+R48</f>
        <v>0</v>
      </c>
      <c r="S45" s="215">
        <f t="shared" si="23"/>
        <v>0</v>
      </c>
      <c r="T45" s="215">
        <f t="shared" si="23"/>
        <v>0</v>
      </c>
      <c r="U45" s="215">
        <f t="shared" si="23"/>
        <v>0</v>
      </c>
      <c r="V45" s="215">
        <f t="shared" si="23"/>
        <v>0</v>
      </c>
      <c r="W45" s="215">
        <f t="shared" si="23"/>
        <v>0</v>
      </c>
      <c r="X45" s="215">
        <f t="shared" si="23"/>
        <v>0</v>
      </c>
      <c r="Y45" s="215">
        <f t="shared" si="23"/>
        <v>0</v>
      </c>
      <c r="Z45" s="215">
        <f t="shared" si="23"/>
        <v>0</v>
      </c>
      <c r="AA45" s="215">
        <f t="shared" si="23"/>
        <v>0</v>
      </c>
      <c r="AB45" s="215">
        <f t="shared" si="23"/>
        <v>0</v>
      </c>
      <c r="AC45" s="215">
        <f t="shared" si="23"/>
        <v>0</v>
      </c>
      <c r="AD45" s="215">
        <f t="shared" si="23"/>
        <v>0</v>
      </c>
      <c r="AE45" s="215">
        <f t="shared" si="23"/>
        <v>0</v>
      </c>
    </row>
    <row r="46" spans="1:31" ht="15" x14ac:dyDescent="0.2">
      <c r="A46" s="219"/>
      <c r="B46" s="220" t="s">
        <v>456</v>
      </c>
      <c r="C46" s="221"/>
      <c r="D46" s="222" t="s">
        <v>457</v>
      </c>
      <c r="E46" s="223" t="str">
        <f>E47</f>
        <v>439 855,35</v>
      </c>
      <c r="F46" s="223">
        <f t="shared" ref="F46:AE46" si="24">F47</f>
        <v>439855.35</v>
      </c>
      <c r="G46" s="238">
        <f t="shared" si="3"/>
        <v>1</v>
      </c>
      <c r="H46" s="223">
        <f t="shared" si="24"/>
        <v>439855.35</v>
      </c>
      <c r="I46" s="225">
        <f t="shared" si="24"/>
        <v>450587.69</v>
      </c>
      <c r="J46" s="937">
        <f t="shared" si="4"/>
        <v>1.0243997032206156</v>
      </c>
      <c r="K46" s="925">
        <f t="shared" si="24"/>
        <v>450587.69</v>
      </c>
      <c r="L46" s="223">
        <f t="shared" si="24"/>
        <v>450587.69</v>
      </c>
      <c r="M46" s="223">
        <f t="shared" si="24"/>
        <v>0</v>
      </c>
      <c r="N46" s="223">
        <f t="shared" si="24"/>
        <v>0</v>
      </c>
      <c r="O46" s="223">
        <f t="shared" si="24"/>
        <v>0</v>
      </c>
      <c r="P46" s="223">
        <f t="shared" si="24"/>
        <v>450587.69</v>
      </c>
      <c r="Q46" s="223">
        <f t="shared" si="24"/>
        <v>0</v>
      </c>
      <c r="R46" s="226">
        <f>R47</f>
        <v>0</v>
      </c>
      <c r="S46" s="223">
        <f t="shared" si="24"/>
        <v>0</v>
      </c>
      <c r="T46" s="223">
        <f t="shared" si="24"/>
        <v>0</v>
      </c>
      <c r="U46" s="223">
        <f t="shared" si="24"/>
        <v>0</v>
      </c>
      <c r="V46" s="223">
        <f t="shared" si="24"/>
        <v>0</v>
      </c>
      <c r="W46" s="223">
        <f t="shared" si="24"/>
        <v>0</v>
      </c>
      <c r="X46" s="223">
        <f t="shared" si="24"/>
        <v>0</v>
      </c>
      <c r="Y46" s="223">
        <f t="shared" si="24"/>
        <v>0</v>
      </c>
      <c r="Z46" s="223">
        <f t="shared" si="24"/>
        <v>0</v>
      </c>
      <c r="AA46" s="223">
        <f t="shared" si="24"/>
        <v>0</v>
      </c>
      <c r="AB46" s="223">
        <f t="shared" si="24"/>
        <v>0</v>
      </c>
      <c r="AC46" s="223">
        <f t="shared" si="24"/>
        <v>0</v>
      </c>
      <c r="AD46" s="223">
        <f t="shared" si="24"/>
        <v>0</v>
      </c>
      <c r="AE46" s="223">
        <f t="shared" si="24"/>
        <v>0</v>
      </c>
    </row>
    <row r="47" spans="1:31" ht="22.5" x14ac:dyDescent="0.2">
      <c r="A47" s="227"/>
      <c r="B47" s="227"/>
      <c r="C47" s="228" t="s">
        <v>458</v>
      </c>
      <c r="D47" s="229" t="s">
        <v>459</v>
      </c>
      <c r="E47" s="230" t="s">
        <v>460</v>
      </c>
      <c r="F47" s="231">
        <v>439855.35</v>
      </c>
      <c r="G47" s="232">
        <f t="shared" si="3"/>
        <v>1</v>
      </c>
      <c r="H47" s="233">
        <v>439855.35</v>
      </c>
      <c r="I47" s="234">
        <v>450587.69</v>
      </c>
      <c r="J47" s="936">
        <f t="shared" si="4"/>
        <v>1.0243997032206156</v>
      </c>
      <c r="K47" s="241">
        <f>L47+S47+T47</f>
        <v>450587.69</v>
      </c>
      <c r="L47" s="236">
        <f>SUM(M47:R47)</f>
        <v>450587.69</v>
      </c>
      <c r="M47" s="242"/>
      <c r="N47" s="242"/>
      <c r="O47" s="242"/>
      <c r="P47" s="236">
        <v>450587.69</v>
      </c>
      <c r="Q47" s="242"/>
      <c r="R47" s="242"/>
      <c r="S47" s="242"/>
      <c r="T47" s="236">
        <f>SUM(U47:AD47)</f>
        <v>0</v>
      </c>
      <c r="U47" s="242"/>
      <c r="V47" s="242"/>
      <c r="W47" s="242"/>
      <c r="X47" s="242"/>
      <c r="Y47" s="242"/>
      <c r="Z47" s="242"/>
      <c r="AA47" s="242"/>
      <c r="AB47" s="242"/>
      <c r="AC47" s="242"/>
      <c r="AD47" s="242"/>
      <c r="AE47" s="242"/>
    </row>
    <row r="48" spans="1:31" ht="15" x14ac:dyDescent="0.2">
      <c r="A48" s="219"/>
      <c r="B48" s="220" t="s">
        <v>81</v>
      </c>
      <c r="C48" s="221"/>
      <c r="D48" s="222" t="s">
        <v>82</v>
      </c>
      <c r="E48" s="223">
        <f>E49+E50+E51+E52+E53+E54+E55+E56+E57+E58+E59+E60+E61</f>
        <v>3324805.5</v>
      </c>
      <c r="F48" s="223">
        <f t="shared" ref="F48:AE48" si="25">F49+F50+F51+F52+F53+F54+F55+F56+F57+F58+F59+F60+F61</f>
        <v>2358944.6799999997</v>
      </c>
      <c r="G48" s="238">
        <f t="shared" si="3"/>
        <v>0.70949854961440595</v>
      </c>
      <c r="H48" s="223">
        <f t="shared" si="25"/>
        <v>3196524.4</v>
      </c>
      <c r="I48" s="225">
        <f t="shared" si="25"/>
        <v>616200</v>
      </c>
      <c r="J48" s="937">
        <f t="shared" si="4"/>
        <v>0.18533414962168462</v>
      </c>
      <c r="K48" s="925">
        <f t="shared" si="25"/>
        <v>636200</v>
      </c>
      <c r="L48" s="223">
        <f t="shared" si="25"/>
        <v>636200</v>
      </c>
      <c r="M48" s="223">
        <f t="shared" si="25"/>
        <v>501200</v>
      </c>
      <c r="N48" s="223">
        <f t="shared" si="25"/>
        <v>0</v>
      </c>
      <c r="O48" s="223">
        <f t="shared" si="25"/>
        <v>135000</v>
      </c>
      <c r="P48" s="223">
        <f t="shared" si="25"/>
        <v>0</v>
      </c>
      <c r="Q48" s="223">
        <f t="shared" si="25"/>
        <v>0</v>
      </c>
      <c r="R48" s="226">
        <f>R49+R50+R51+R52+R53+R54+R55+R56+R57+R58+R59+R60+R61</f>
        <v>0</v>
      </c>
      <c r="S48" s="223">
        <f t="shared" si="25"/>
        <v>0</v>
      </c>
      <c r="T48" s="223">
        <f t="shared" si="25"/>
        <v>0</v>
      </c>
      <c r="U48" s="223">
        <f t="shared" si="25"/>
        <v>0</v>
      </c>
      <c r="V48" s="223">
        <f t="shared" si="25"/>
        <v>0</v>
      </c>
      <c r="W48" s="223">
        <f t="shared" si="25"/>
        <v>0</v>
      </c>
      <c r="X48" s="223">
        <f t="shared" si="25"/>
        <v>0</v>
      </c>
      <c r="Y48" s="223">
        <f t="shared" si="25"/>
        <v>0</v>
      </c>
      <c r="Z48" s="223">
        <f t="shared" si="25"/>
        <v>0</v>
      </c>
      <c r="AA48" s="223">
        <f t="shared" si="25"/>
        <v>0</v>
      </c>
      <c r="AB48" s="223">
        <f t="shared" si="25"/>
        <v>0</v>
      </c>
      <c r="AC48" s="223">
        <f t="shared" si="25"/>
        <v>0</v>
      </c>
      <c r="AD48" s="223">
        <f t="shared" si="25"/>
        <v>0</v>
      </c>
      <c r="AE48" s="223">
        <f t="shared" si="25"/>
        <v>0</v>
      </c>
    </row>
    <row r="49" spans="1:31" x14ac:dyDescent="0.2">
      <c r="A49" s="227"/>
      <c r="B49" s="227"/>
      <c r="C49" s="228" t="s">
        <v>410</v>
      </c>
      <c r="D49" s="229" t="s">
        <v>411</v>
      </c>
      <c r="E49" s="230" t="s">
        <v>461</v>
      </c>
      <c r="F49" s="231">
        <v>215.37</v>
      </c>
      <c r="G49" s="232">
        <f t="shared" si="3"/>
        <v>3.8458928571428574E-2</v>
      </c>
      <c r="H49" s="233">
        <v>600</v>
      </c>
      <c r="I49" s="234">
        <v>5000</v>
      </c>
      <c r="J49" s="936">
        <f t="shared" si="4"/>
        <v>0.8928571428571429</v>
      </c>
      <c r="K49" s="241">
        <f>L49+S49+T49</f>
        <v>5000</v>
      </c>
      <c r="L49" s="236">
        <f>SUM(M49:R49)</f>
        <v>5000</v>
      </c>
      <c r="M49" s="236"/>
      <c r="N49" s="236"/>
      <c r="O49" s="236">
        <v>5000</v>
      </c>
      <c r="P49" s="236"/>
      <c r="Q49" s="236"/>
      <c r="R49" s="236"/>
      <c r="S49" s="236"/>
      <c r="T49" s="236">
        <f>SUM(U49:AD49)</f>
        <v>0</v>
      </c>
      <c r="U49" s="236"/>
      <c r="V49" s="236"/>
      <c r="W49" s="236"/>
      <c r="X49" s="236"/>
      <c r="Y49" s="236"/>
      <c r="Z49" s="236"/>
      <c r="AA49" s="236"/>
      <c r="AB49" s="236"/>
      <c r="AC49" s="236"/>
      <c r="AD49" s="236"/>
      <c r="AE49" s="236"/>
    </row>
    <row r="50" spans="1:31" x14ac:dyDescent="0.2">
      <c r="A50" s="227"/>
      <c r="B50" s="227"/>
      <c r="C50" s="228" t="s">
        <v>424</v>
      </c>
      <c r="D50" s="229" t="s">
        <v>425</v>
      </c>
      <c r="E50" s="230" t="s">
        <v>462</v>
      </c>
      <c r="F50" s="231">
        <v>81246.03</v>
      </c>
      <c r="G50" s="232">
        <f t="shared" si="3"/>
        <v>0.81246030000000002</v>
      </c>
      <c r="H50" s="233">
        <v>100000</v>
      </c>
      <c r="I50" s="234">
        <v>110000</v>
      </c>
      <c r="J50" s="936">
        <f t="shared" si="4"/>
        <v>1.1000000000000001</v>
      </c>
      <c r="K50" s="241">
        <f t="shared" ref="K50:K61" si="26">L50+S50+T50</f>
        <v>110000</v>
      </c>
      <c r="L50" s="236">
        <f t="shared" ref="L50:L61" si="27">SUM(M50:R50)</f>
        <v>110000</v>
      </c>
      <c r="M50" s="236"/>
      <c r="N50" s="236"/>
      <c r="O50" s="236">
        <v>110000</v>
      </c>
      <c r="P50" s="236"/>
      <c r="Q50" s="236"/>
      <c r="R50" s="236"/>
      <c r="S50" s="236"/>
      <c r="T50" s="236">
        <f t="shared" ref="T50:T61" si="28">SUM(U50:AD50)</f>
        <v>0</v>
      </c>
      <c r="U50" s="236"/>
      <c r="V50" s="236"/>
      <c r="W50" s="236"/>
      <c r="X50" s="236"/>
      <c r="Y50" s="236"/>
      <c r="Z50" s="236"/>
      <c r="AA50" s="236"/>
      <c r="AB50" s="236"/>
      <c r="AC50" s="236"/>
      <c r="AD50" s="236"/>
      <c r="AE50" s="236"/>
    </row>
    <row r="51" spans="1:31" x14ac:dyDescent="0.2">
      <c r="A51" s="227"/>
      <c r="B51" s="227"/>
      <c r="C51" s="228" t="s">
        <v>438</v>
      </c>
      <c r="D51" s="229" t="s">
        <v>439</v>
      </c>
      <c r="E51" s="230" t="s">
        <v>463</v>
      </c>
      <c r="F51" s="231">
        <v>7380</v>
      </c>
      <c r="G51" s="232">
        <f t="shared" si="3"/>
        <v>0.3804123711340206</v>
      </c>
      <c r="H51" s="233">
        <v>19400</v>
      </c>
      <c r="I51" s="234">
        <v>10000</v>
      </c>
      <c r="J51" s="936">
        <f t="shared" si="4"/>
        <v>0.51546391752577314</v>
      </c>
      <c r="K51" s="241">
        <f t="shared" si="26"/>
        <v>10000</v>
      </c>
      <c r="L51" s="236">
        <f t="shared" si="27"/>
        <v>10000</v>
      </c>
      <c r="M51" s="236"/>
      <c r="N51" s="236"/>
      <c r="O51" s="236">
        <v>10000</v>
      </c>
      <c r="P51" s="236"/>
      <c r="Q51" s="236"/>
      <c r="R51" s="236"/>
      <c r="S51" s="236"/>
      <c r="T51" s="236">
        <f t="shared" si="28"/>
        <v>0</v>
      </c>
      <c r="U51" s="236"/>
      <c r="V51" s="236"/>
      <c r="W51" s="236"/>
      <c r="X51" s="236"/>
      <c r="Y51" s="236"/>
      <c r="Z51" s="236"/>
      <c r="AA51" s="236"/>
      <c r="AB51" s="236"/>
      <c r="AC51" s="236"/>
      <c r="AD51" s="236"/>
      <c r="AE51" s="236"/>
    </row>
    <row r="52" spans="1:31" x14ac:dyDescent="0.2">
      <c r="A52" s="227"/>
      <c r="B52" s="227"/>
      <c r="C52" s="228" t="s">
        <v>413</v>
      </c>
      <c r="D52" s="229" t="s">
        <v>414</v>
      </c>
      <c r="E52" s="230" t="s">
        <v>464</v>
      </c>
      <c r="F52" s="231">
        <v>55132.83</v>
      </c>
      <c r="G52" s="232">
        <f t="shared" si="3"/>
        <v>0.42409869230769232</v>
      </c>
      <c r="H52" s="233">
        <v>105397.88</v>
      </c>
      <c r="I52" s="234">
        <v>150000</v>
      </c>
      <c r="J52" s="936">
        <f t="shared" si="4"/>
        <v>1.1538461538461537</v>
      </c>
      <c r="K52" s="241">
        <f t="shared" si="26"/>
        <v>150000</v>
      </c>
      <c r="L52" s="236">
        <f t="shared" si="27"/>
        <v>150000</v>
      </c>
      <c r="M52" s="236">
        <v>140000</v>
      </c>
      <c r="N52" s="236"/>
      <c r="O52" s="236">
        <v>10000</v>
      </c>
      <c r="P52" s="236"/>
      <c r="Q52" s="236"/>
      <c r="R52" s="236"/>
      <c r="S52" s="236"/>
      <c r="T52" s="236">
        <f t="shared" si="28"/>
        <v>0</v>
      </c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</row>
    <row r="53" spans="1:31" x14ac:dyDescent="0.2">
      <c r="A53" s="227"/>
      <c r="B53" s="227"/>
      <c r="C53" s="228" t="s">
        <v>416</v>
      </c>
      <c r="D53" s="229" t="s">
        <v>417</v>
      </c>
      <c r="E53" s="230" t="s">
        <v>465</v>
      </c>
      <c r="F53" s="231">
        <v>300</v>
      </c>
      <c r="G53" s="232">
        <f t="shared" si="3"/>
        <v>0.2</v>
      </c>
      <c r="H53" s="233">
        <v>300</v>
      </c>
      <c r="I53" s="234">
        <v>2000</v>
      </c>
      <c r="J53" s="936">
        <f t="shared" si="4"/>
        <v>1.3333333333333333</v>
      </c>
      <c r="K53" s="241">
        <f t="shared" si="26"/>
        <v>2000</v>
      </c>
      <c r="L53" s="236">
        <f t="shared" si="27"/>
        <v>2000</v>
      </c>
      <c r="M53" s="236">
        <v>2000</v>
      </c>
      <c r="N53" s="236"/>
      <c r="O53" s="236"/>
      <c r="P53" s="236"/>
      <c r="Q53" s="236"/>
      <c r="R53" s="236"/>
      <c r="S53" s="236"/>
      <c r="T53" s="236">
        <f t="shared" si="28"/>
        <v>0</v>
      </c>
      <c r="U53" s="236"/>
      <c r="V53" s="236"/>
      <c r="W53" s="236"/>
      <c r="X53" s="236"/>
      <c r="Y53" s="236"/>
      <c r="Z53" s="236"/>
      <c r="AA53" s="236"/>
      <c r="AB53" s="236"/>
      <c r="AC53" s="236"/>
      <c r="AD53" s="236"/>
      <c r="AE53" s="236"/>
    </row>
    <row r="54" spans="1:31" ht="22.5" x14ac:dyDescent="0.2">
      <c r="A54" s="227"/>
      <c r="B54" s="227"/>
      <c r="C54" s="228" t="s">
        <v>466</v>
      </c>
      <c r="D54" s="229" t="s">
        <v>467</v>
      </c>
      <c r="E54" s="230" t="s">
        <v>301</v>
      </c>
      <c r="F54" s="231">
        <v>672</v>
      </c>
      <c r="G54" s="232">
        <f t="shared" si="3"/>
        <v>0.96</v>
      </c>
      <c r="H54" s="233">
        <v>67</v>
      </c>
      <c r="I54" s="234">
        <v>700</v>
      </c>
      <c r="J54" s="936">
        <f t="shared" si="4"/>
        <v>1</v>
      </c>
      <c r="K54" s="241">
        <f t="shared" si="26"/>
        <v>700</v>
      </c>
      <c r="L54" s="236">
        <f t="shared" si="27"/>
        <v>700</v>
      </c>
      <c r="M54" s="236">
        <v>700</v>
      </c>
      <c r="N54" s="236"/>
      <c r="O54" s="236"/>
      <c r="P54" s="236"/>
      <c r="Q54" s="236"/>
      <c r="R54" s="236"/>
      <c r="S54" s="236"/>
      <c r="T54" s="236">
        <f t="shared" si="28"/>
        <v>0</v>
      </c>
      <c r="U54" s="236"/>
      <c r="V54" s="236"/>
      <c r="W54" s="236"/>
      <c r="X54" s="236"/>
      <c r="Y54" s="236"/>
      <c r="Z54" s="236"/>
      <c r="AA54" s="236"/>
      <c r="AB54" s="236"/>
      <c r="AC54" s="236"/>
      <c r="AD54" s="236"/>
      <c r="AE54" s="236"/>
    </row>
    <row r="55" spans="1:31" x14ac:dyDescent="0.2">
      <c r="A55" s="227"/>
      <c r="B55" s="227"/>
      <c r="C55" s="228" t="s">
        <v>468</v>
      </c>
      <c r="D55" s="229" t="s">
        <v>469</v>
      </c>
      <c r="E55" s="230" t="s">
        <v>470</v>
      </c>
      <c r="F55" s="231">
        <v>80</v>
      </c>
      <c r="G55" s="232">
        <f t="shared" si="3"/>
        <v>0.66666666666666663</v>
      </c>
      <c r="H55" s="233">
        <v>80</v>
      </c>
      <c r="I55" s="234">
        <v>0</v>
      </c>
      <c r="J55" s="936">
        <f t="shared" si="4"/>
        <v>0</v>
      </c>
      <c r="K55" s="241">
        <f t="shared" si="26"/>
        <v>0</v>
      </c>
      <c r="L55" s="236">
        <f t="shared" si="27"/>
        <v>0</v>
      </c>
      <c r="M55" s="236"/>
      <c r="N55" s="236"/>
      <c r="O55" s="236"/>
      <c r="P55" s="236"/>
      <c r="Q55" s="236"/>
      <c r="R55" s="236"/>
      <c r="S55" s="236"/>
      <c r="T55" s="236">
        <f t="shared" si="28"/>
        <v>0</v>
      </c>
      <c r="U55" s="236"/>
      <c r="V55" s="236"/>
      <c r="W55" s="236"/>
      <c r="X55" s="236"/>
      <c r="Y55" s="236"/>
      <c r="Z55" s="236"/>
      <c r="AA55" s="236"/>
      <c r="AB55" s="236"/>
      <c r="AC55" s="236"/>
      <c r="AD55" s="236"/>
      <c r="AE55" s="236"/>
    </row>
    <row r="56" spans="1:31" ht="22.5" x14ac:dyDescent="0.2">
      <c r="A56" s="227"/>
      <c r="B56" s="227"/>
      <c r="C56" s="228" t="s">
        <v>471</v>
      </c>
      <c r="D56" s="229" t="s">
        <v>472</v>
      </c>
      <c r="E56" s="230" t="s">
        <v>473</v>
      </c>
      <c r="F56" s="231">
        <v>5045.13</v>
      </c>
      <c r="G56" s="232">
        <f t="shared" si="3"/>
        <v>0.91729636363636369</v>
      </c>
      <c r="H56" s="233">
        <v>5045.13</v>
      </c>
      <c r="I56" s="234">
        <v>5500</v>
      </c>
      <c r="J56" s="936">
        <f t="shared" si="4"/>
        <v>1</v>
      </c>
      <c r="K56" s="241">
        <f t="shared" si="26"/>
        <v>5500</v>
      </c>
      <c r="L56" s="236">
        <f t="shared" si="27"/>
        <v>5500</v>
      </c>
      <c r="M56" s="236">
        <v>5500</v>
      </c>
      <c r="N56" s="236"/>
      <c r="O56" s="236"/>
      <c r="P56" s="236"/>
      <c r="Q56" s="236"/>
      <c r="R56" s="236"/>
      <c r="S56" s="236"/>
      <c r="T56" s="236">
        <f t="shared" si="28"/>
        <v>0</v>
      </c>
      <c r="U56" s="236"/>
      <c r="V56" s="236"/>
      <c r="W56" s="236"/>
      <c r="X56" s="236"/>
      <c r="Y56" s="236"/>
      <c r="Z56" s="236"/>
      <c r="AA56" s="236"/>
      <c r="AB56" s="236"/>
      <c r="AC56" s="236"/>
      <c r="AD56" s="236"/>
      <c r="AE56" s="236"/>
    </row>
    <row r="57" spans="1:31" ht="22.5" x14ac:dyDescent="0.2">
      <c r="A57" s="227"/>
      <c r="B57" s="227"/>
      <c r="C57" s="228" t="s">
        <v>474</v>
      </c>
      <c r="D57" s="229" t="s">
        <v>475</v>
      </c>
      <c r="E57" s="230" t="s">
        <v>144</v>
      </c>
      <c r="F57" s="231">
        <v>46755.12</v>
      </c>
      <c r="G57" s="232">
        <f t="shared" si="3"/>
        <v>0.77925200000000006</v>
      </c>
      <c r="H57" s="233">
        <v>60000</v>
      </c>
      <c r="I57" s="234">
        <v>80000</v>
      </c>
      <c r="J57" s="936">
        <f t="shared" si="4"/>
        <v>1.3333333333333333</v>
      </c>
      <c r="K57" s="241">
        <f t="shared" si="26"/>
        <v>100000</v>
      </c>
      <c r="L57" s="236">
        <f t="shared" si="27"/>
        <v>100000</v>
      </c>
      <c r="M57" s="236">
        <v>100000</v>
      </c>
      <c r="N57" s="236"/>
      <c r="O57" s="236"/>
      <c r="P57" s="236"/>
      <c r="Q57" s="236"/>
      <c r="R57" s="236"/>
      <c r="S57" s="236"/>
      <c r="T57" s="236">
        <f t="shared" si="28"/>
        <v>0</v>
      </c>
      <c r="U57" s="236"/>
      <c r="V57" s="236"/>
      <c r="W57" s="236"/>
      <c r="X57" s="236"/>
      <c r="Y57" s="236"/>
      <c r="Z57" s="236"/>
      <c r="AA57" s="236"/>
      <c r="AB57" s="236"/>
      <c r="AC57" s="236"/>
      <c r="AD57" s="236"/>
      <c r="AE57" s="236"/>
    </row>
    <row r="58" spans="1:31" ht="22.5" x14ac:dyDescent="0.2">
      <c r="A58" s="227"/>
      <c r="B58" s="227"/>
      <c r="C58" s="228" t="s">
        <v>476</v>
      </c>
      <c r="D58" s="229" t="s">
        <v>477</v>
      </c>
      <c r="E58" s="230" t="s">
        <v>478</v>
      </c>
      <c r="F58" s="231">
        <v>50012.639999999999</v>
      </c>
      <c r="G58" s="232">
        <f t="shared" si="3"/>
        <v>0.55569599999999997</v>
      </c>
      <c r="H58" s="233">
        <v>85018.96</v>
      </c>
      <c r="I58" s="234">
        <v>45000</v>
      </c>
      <c r="J58" s="936">
        <f t="shared" si="4"/>
        <v>0.5</v>
      </c>
      <c r="K58" s="241">
        <f t="shared" si="26"/>
        <v>45000</v>
      </c>
      <c r="L58" s="236">
        <f t="shared" si="27"/>
        <v>45000</v>
      </c>
      <c r="M58" s="236">
        <v>45000</v>
      </c>
      <c r="N58" s="236"/>
      <c r="O58" s="236"/>
      <c r="P58" s="236"/>
      <c r="Q58" s="236"/>
      <c r="R58" s="236"/>
      <c r="S58" s="236"/>
      <c r="T58" s="236">
        <f t="shared" si="28"/>
        <v>0</v>
      </c>
      <c r="U58" s="236"/>
      <c r="V58" s="236"/>
      <c r="W58" s="236"/>
      <c r="X58" s="236"/>
      <c r="Y58" s="236"/>
      <c r="Z58" s="236"/>
      <c r="AA58" s="236"/>
      <c r="AB58" s="236"/>
      <c r="AC58" s="236"/>
      <c r="AD58" s="236"/>
      <c r="AE58" s="236"/>
    </row>
    <row r="59" spans="1:31" x14ac:dyDescent="0.2">
      <c r="A59" s="227"/>
      <c r="B59" s="227"/>
      <c r="C59" s="228" t="s">
        <v>479</v>
      </c>
      <c r="D59" s="229" t="s">
        <v>480</v>
      </c>
      <c r="E59" s="230" t="s">
        <v>481</v>
      </c>
      <c r="F59" s="231">
        <v>3356.25</v>
      </c>
      <c r="G59" s="232">
        <f t="shared" si="3"/>
        <v>0.68775614754098358</v>
      </c>
      <c r="H59" s="233">
        <v>3356.25</v>
      </c>
      <c r="I59" s="234">
        <v>8000</v>
      </c>
      <c r="J59" s="936">
        <f t="shared" si="4"/>
        <v>1.639344262295082</v>
      </c>
      <c r="K59" s="241">
        <f t="shared" si="26"/>
        <v>8000</v>
      </c>
      <c r="L59" s="236">
        <f t="shared" si="27"/>
        <v>8000</v>
      </c>
      <c r="M59" s="236">
        <v>8000</v>
      </c>
      <c r="N59" s="236"/>
      <c r="O59" s="236"/>
      <c r="P59" s="236"/>
      <c r="Q59" s="236"/>
      <c r="R59" s="236"/>
      <c r="S59" s="236"/>
      <c r="T59" s="236">
        <f t="shared" si="28"/>
        <v>0</v>
      </c>
      <c r="U59" s="236"/>
      <c r="V59" s="236"/>
      <c r="W59" s="236"/>
      <c r="X59" s="236"/>
      <c r="Y59" s="236"/>
      <c r="Z59" s="236"/>
      <c r="AA59" s="236"/>
      <c r="AB59" s="236"/>
      <c r="AC59" s="236"/>
      <c r="AD59" s="236"/>
      <c r="AE59" s="236"/>
    </row>
    <row r="60" spans="1:31" x14ac:dyDescent="0.2">
      <c r="A60" s="227"/>
      <c r="B60" s="227"/>
      <c r="C60" s="228" t="s">
        <v>443</v>
      </c>
      <c r="D60" s="229" t="s">
        <v>444</v>
      </c>
      <c r="E60" s="230" t="s">
        <v>482</v>
      </c>
      <c r="F60" s="231">
        <v>1958537.51</v>
      </c>
      <c r="G60" s="232">
        <f t="shared" si="3"/>
        <v>0.71130167529491584</v>
      </c>
      <c r="H60" s="233">
        <v>2667047.38</v>
      </c>
      <c r="I60" s="234">
        <v>0</v>
      </c>
      <c r="J60" s="936">
        <f t="shared" si="4"/>
        <v>0</v>
      </c>
      <c r="K60" s="241">
        <f t="shared" si="26"/>
        <v>0</v>
      </c>
      <c r="L60" s="236">
        <f t="shared" si="27"/>
        <v>0</v>
      </c>
      <c r="M60" s="236">
        <v>0</v>
      </c>
      <c r="N60" s="236"/>
      <c r="O60" s="236"/>
      <c r="P60" s="236"/>
      <c r="Q60" s="236"/>
      <c r="R60" s="236"/>
      <c r="S60" s="236"/>
      <c r="T60" s="236">
        <f t="shared" si="28"/>
        <v>0</v>
      </c>
      <c r="U60" s="236"/>
      <c r="V60" s="236"/>
      <c r="W60" s="236"/>
      <c r="X60" s="236"/>
      <c r="Y60" s="236"/>
      <c r="Z60" s="236"/>
      <c r="AA60" s="236"/>
      <c r="AB60" s="236"/>
      <c r="AC60" s="236"/>
      <c r="AD60" s="236"/>
      <c r="AE60" s="236"/>
    </row>
    <row r="61" spans="1:31" x14ac:dyDescent="0.2">
      <c r="A61" s="227"/>
      <c r="B61" s="227"/>
      <c r="C61" s="228" t="s">
        <v>454</v>
      </c>
      <c r="D61" s="229" t="s">
        <v>455</v>
      </c>
      <c r="E61" s="230" t="s">
        <v>483</v>
      </c>
      <c r="F61" s="231">
        <v>150211.79999999999</v>
      </c>
      <c r="G61" s="232">
        <f t="shared" si="3"/>
        <v>0.9776231695411649</v>
      </c>
      <c r="H61" s="233">
        <v>150211.79999999999</v>
      </c>
      <c r="I61" s="234">
        <v>200000</v>
      </c>
      <c r="J61" s="936">
        <f t="shared" si="4"/>
        <v>1.3016596160104132</v>
      </c>
      <c r="K61" s="241">
        <f t="shared" si="26"/>
        <v>200000</v>
      </c>
      <c r="L61" s="236">
        <f t="shared" si="27"/>
        <v>200000</v>
      </c>
      <c r="M61" s="236">
        <v>200000</v>
      </c>
      <c r="N61" s="236"/>
      <c r="O61" s="236"/>
      <c r="P61" s="236"/>
      <c r="Q61" s="236"/>
      <c r="R61" s="236"/>
      <c r="S61" s="236"/>
      <c r="T61" s="236">
        <f t="shared" si="28"/>
        <v>0</v>
      </c>
      <c r="U61" s="236"/>
      <c r="V61" s="236"/>
      <c r="W61" s="236"/>
      <c r="X61" s="236"/>
      <c r="Y61" s="236"/>
      <c r="Z61" s="236"/>
      <c r="AA61" s="236"/>
      <c r="AB61" s="236"/>
      <c r="AC61" s="236"/>
      <c r="AD61" s="236"/>
      <c r="AE61" s="236"/>
    </row>
    <row r="62" spans="1:31" x14ac:dyDescent="0.2">
      <c r="A62" s="213" t="s">
        <v>484</v>
      </c>
      <c r="B62" s="213"/>
      <c r="C62" s="213"/>
      <c r="D62" s="214" t="s">
        <v>485</v>
      </c>
      <c r="E62" s="215">
        <f>E63+E66</f>
        <v>105000</v>
      </c>
      <c r="F62" s="215">
        <f t="shared" ref="F62:AE62" si="29">F63+F66</f>
        <v>55849.399999999994</v>
      </c>
      <c r="G62" s="246">
        <f t="shared" si="3"/>
        <v>0.5318990476190476</v>
      </c>
      <c r="H62" s="215">
        <f t="shared" si="29"/>
        <v>95090.18</v>
      </c>
      <c r="I62" s="217">
        <f t="shared" si="29"/>
        <v>160000</v>
      </c>
      <c r="J62" s="938">
        <f t="shared" si="4"/>
        <v>1.5238095238095237</v>
      </c>
      <c r="K62" s="924">
        <f t="shared" si="29"/>
        <v>160000</v>
      </c>
      <c r="L62" s="215">
        <f t="shared" si="29"/>
        <v>160000</v>
      </c>
      <c r="M62" s="215">
        <f t="shared" si="29"/>
        <v>140000</v>
      </c>
      <c r="N62" s="215">
        <f t="shared" si="29"/>
        <v>20000</v>
      </c>
      <c r="O62" s="215">
        <f t="shared" si="29"/>
        <v>0</v>
      </c>
      <c r="P62" s="215">
        <f t="shared" si="29"/>
        <v>0</v>
      </c>
      <c r="Q62" s="215">
        <f t="shared" si="29"/>
        <v>0</v>
      </c>
      <c r="R62" s="218">
        <f>R63+R66</f>
        <v>0</v>
      </c>
      <c r="S62" s="215">
        <f t="shared" si="29"/>
        <v>0</v>
      </c>
      <c r="T62" s="215">
        <f t="shared" si="29"/>
        <v>0</v>
      </c>
      <c r="U62" s="215">
        <f t="shared" si="29"/>
        <v>0</v>
      </c>
      <c r="V62" s="215">
        <f t="shared" si="29"/>
        <v>0</v>
      </c>
      <c r="W62" s="215">
        <f t="shared" si="29"/>
        <v>0</v>
      </c>
      <c r="X62" s="215">
        <f t="shared" si="29"/>
        <v>0</v>
      </c>
      <c r="Y62" s="215">
        <f t="shared" si="29"/>
        <v>0</v>
      </c>
      <c r="Z62" s="215">
        <f t="shared" si="29"/>
        <v>0</v>
      </c>
      <c r="AA62" s="215">
        <f t="shared" si="29"/>
        <v>0</v>
      </c>
      <c r="AB62" s="215">
        <f t="shared" si="29"/>
        <v>0</v>
      </c>
      <c r="AC62" s="215">
        <f t="shared" si="29"/>
        <v>0</v>
      </c>
      <c r="AD62" s="215">
        <f t="shared" si="29"/>
        <v>0</v>
      </c>
      <c r="AE62" s="215">
        <f t="shared" si="29"/>
        <v>0</v>
      </c>
    </row>
    <row r="63" spans="1:31" ht="15" x14ac:dyDescent="0.2">
      <c r="A63" s="219"/>
      <c r="B63" s="220" t="s">
        <v>486</v>
      </c>
      <c r="C63" s="221"/>
      <c r="D63" s="222" t="s">
        <v>487</v>
      </c>
      <c r="E63" s="223">
        <f>E64+E65</f>
        <v>95000</v>
      </c>
      <c r="F63" s="223">
        <f t="shared" ref="F63:AE63" si="30">F64+F65</f>
        <v>49649.45</v>
      </c>
      <c r="G63" s="238">
        <f t="shared" si="3"/>
        <v>0.52262578947368421</v>
      </c>
      <c r="H63" s="223">
        <f t="shared" si="30"/>
        <v>85090.18</v>
      </c>
      <c r="I63" s="225">
        <f t="shared" si="30"/>
        <v>140000</v>
      </c>
      <c r="J63" s="937">
        <f t="shared" si="4"/>
        <v>1.4736842105263157</v>
      </c>
      <c r="K63" s="925">
        <f t="shared" si="30"/>
        <v>140000</v>
      </c>
      <c r="L63" s="223">
        <f t="shared" si="30"/>
        <v>140000</v>
      </c>
      <c r="M63" s="223">
        <f t="shared" si="30"/>
        <v>140000</v>
      </c>
      <c r="N63" s="223">
        <f t="shared" si="30"/>
        <v>0</v>
      </c>
      <c r="O63" s="223">
        <f t="shared" si="30"/>
        <v>0</v>
      </c>
      <c r="P63" s="223">
        <f t="shared" si="30"/>
        <v>0</v>
      </c>
      <c r="Q63" s="223">
        <f t="shared" si="30"/>
        <v>0</v>
      </c>
      <c r="R63" s="226">
        <f>R64+R65</f>
        <v>0</v>
      </c>
      <c r="S63" s="223">
        <f t="shared" si="30"/>
        <v>0</v>
      </c>
      <c r="T63" s="223">
        <f t="shared" si="30"/>
        <v>0</v>
      </c>
      <c r="U63" s="223">
        <f t="shared" si="30"/>
        <v>0</v>
      </c>
      <c r="V63" s="223">
        <f t="shared" si="30"/>
        <v>0</v>
      </c>
      <c r="W63" s="223">
        <f t="shared" si="30"/>
        <v>0</v>
      </c>
      <c r="X63" s="223">
        <f t="shared" si="30"/>
        <v>0</v>
      </c>
      <c r="Y63" s="223">
        <f t="shared" si="30"/>
        <v>0</v>
      </c>
      <c r="Z63" s="223">
        <f t="shared" si="30"/>
        <v>0</v>
      </c>
      <c r="AA63" s="223">
        <f t="shared" si="30"/>
        <v>0</v>
      </c>
      <c r="AB63" s="223">
        <f t="shared" si="30"/>
        <v>0</v>
      </c>
      <c r="AC63" s="223">
        <f t="shared" si="30"/>
        <v>0</v>
      </c>
      <c r="AD63" s="223">
        <f t="shared" si="30"/>
        <v>0</v>
      </c>
      <c r="AE63" s="223">
        <f t="shared" si="30"/>
        <v>0</v>
      </c>
    </row>
    <row r="64" spans="1:31" x14ac:dyDescent="0.2">
      <c r="A64" s="227"/>
      <c r="B64" s="227"/>
      <c r="C64" s="228" t="s">
        <v>420</v>
      </c>
      <c r="D64" s="229" t="s">
        <v>421</v>
      </c>
      <c r="E64" s="230" t="s">
        <v>488</v>
      </c>
      <c r="F64" s="231">
        <v>28056</v>
      </c>
      <c r="G64" s="232">
        <f t="shared" si="3"/>
        <v>0.62346666666666661</v>
      </c>
      <c r="H64" s="233">
        <v>42700</v>
      </c>
      <c r="I64" s="234">
        <v>50000</v>
      </c>
      <c r="J64" s="936">
        <f t="shared" si="4"/>
        <v>1.1111111111111112</v>
      </c>
      <c r="K64" s="241">
        <f>L64+S64+T64</f>
        <v>50000</v>
      </c>
      <c r="L64" s="236">
        <f>SUM(M64:Q64)</f>
        <v>50000</v>
      </c>
      <c r="M64" s="236">
        <v>50000</v>
      </c>
      <c r="N64" s="236"/>
      <c r="O64" s="236"/>
      <c r="P64" s="236"/>
      <c r="Q64" s="236"/>
      <c r="R64" s="236"/>
      <c r="S64" s="236"/>
      <c r="T64" s="236">
        <f>SUM(U64:AD64)</f>
        <v>0</v>
      </c>
      <c r="U64" s="236"/>
      <c r="V64" s="236"/>
      <c r="W64" s="236"/>
      <c r="X64" s="236"/>
      <c r="Y64" s="236"/>
      <c r="Z64" s="236"/>
      <c r="AA64" s="236"/>
      <c r="AB64" s="236"/>
      <c r="AC64" s="236"/>
      <c r="AD64" s="236"/>
      <c r="AE64" s="236"/>
    </row>
    <row r="65" spans="1:31" x14ac:dyDescent="0.2">
      <c r="A65" s="227"/>
      <c r="B65" s="227"/>
      <c r="C65" s="228" t="s">
        <v>413</v>
      </c>
      <c r="D65" s="229" t="s">
        <v>414</v>
      </c>
      <c r="E65" s="230" t="s">
        <v>44</v>
      </c>
      <c r="F65" s="231">
        <v>21593.45</v>
      </c>
      <c r="G65" s="232">
        <f t="shared" si="3"/>
        <v>0.431869</v>
      </c>
      <c r="H65" s="233">
        <v>42390.18</v>
      </c>
      <c r="I65" s="234">
        <v>90000</v>
      </c>
      <c r="J65" s="936">
        <f t="shared" si="4"/>
        <v>1.8</v>
      </c>
      <c r="K65" s="241">
        <f>L65+S65+T65</f>
        <v>90000</v>
      </c>
      <c r="L65" s="236">
        <f>SUM(M65:Q65)</f>
        <v>90000</v>
      </c>
      <c r="M65" s="236">
        <v>90000</v>
      </c>
      <c r="N65" s="236"/>
      <c r="O65" s="236"/>
      <c r="P65" s="236"/>
      <c r="Q65" s="236"/>
      <c r="R65" s="236"/>
      <c r="S65" s="236"/>
      <c r="T65" s="236">
        <f>SUM(U65:AD65)</f>
        <v>0</v>
      </c>
      <c r="U65" s="236"/>
      <c r="V65" s="236"/>
      <c r="W65" s="236"/>
      <c r="X65" s="236"/>
      <c r="Y65" s="236"/>
      <c r="Z65" s="236"/>
      <c r="AA65" s="236"/>
      <c r="AB65" s="236"/>
      <c r="AC65" s="236"/>
      <c r="AD65" s="236"/>
      <c r="AE65" s="236"/>
    </row>
    <row r="66" spans="1:31" ht="15" x14ac:dyDescent="0.2">
      <c r="A66" s="219"/>
      <c r="B66" s="220" t="s">
        <v>489</v>
      </c>
      <c r="C66" s="221"/>
      <c r="D66" s="222" t="s">
        <v>490</v>
      </c>
      <c r="E66" s="223">
        <f>E67+E68</f>
        <v>10000</v>
      </c>
      <c r="F66" s="223">
        <f t="shared" ref="F66:AE66" si="31">F67+F68</f>
        <v>6199.95</v>
      </c>
      <c r="G66" s="238">
        <f t="shared" si="3"/>
        <v>0.61999499999999996</v>
      </c>
      <c r="H66" s="223">
        <f t="shared" si="31"/>
        <v>10000</v>
      </c>
      <c r="I66" s="225">
        <f t="shared" si="31"/>
        <v>20000</v>
      </c>
      <c r="J66" s="937">
        <f t="shared" si="4"/>
        <v>2</v>
      </c>
      <c r="K66" s="925">
        <f t="shared" si="31"/>
        <v>20000</v>
      </c>
      <c r="L66" s="223">
        <f t="shared" si="31"/>
        <v>20000</v>
      </c>
      <c r="M66" s="223">
        <f t="shared" si="31"/>
        <v>0</v>
      </c>
      <c r="N66" s="223">
        <f t="shared" si="31"/>
        <v>20000</v>
      </c>
      <c r="O66" s="223">
        <f t="shared" si="31"/>
        <v>0</v>
      </c>
      <c r="P66" s="223">
        <f t="shared" si="31"/>
        <v>0</v>
      </c>
      <c r="Q66" s="223">
        <f t="shared" si="31"/>
        <v>0</v>
      </c>
      <c r="R66" s="226">
        <f>R67+R68</f>
        <v>0</v>
      </c>
      <c r="S66" s="223">
        <f t="shared" si="31"/>
        <v>0</v>
      </c>
      <c r="T66" s="223">
        <f t="shared" si="31"/>
        <v>0</v>
      </c>
      <c r="U66" s="223">
        <f t="shared" si="31"/>
        <v>0</v>
      </c>
      <c r="V66" s="223">
        <f t="shared" si="31"/>
        <v>0</v>
      </c>
      <c r="W66" s="223">
        <f t="shared" si="31"/>
        <v>0</v>
      </c>
      <c r="X66" s="223">
        <f t="shared" si="31"/>
        <v>0</v>
      </c>
      <c r="Y66" s="223">
        <f t="shared" si="31"/>
        <v>0</v>
      </c>
      <c r="Z66" s="223">
        <f t="shared" si="31"/>
        <v>0</v>
      </c>
      <c r="AA66" s="223">
        <f t="shared" si="31"/>
        <v>0</v>
      </c>
      <c r="AB66" s="223">
        <f t="shared" si="31"/>
        <v>0</v>
      </c>
      <c r="AC66" s="223">
        <f t="shared" si="31"/>
        <v>0</v>
      </c>
      <c r="AD66" s="223">
        <f t="shared" si="31"/>
        <v>0</v>
      </c>
      <c r="AE66" s="223">
        <f t="shared" si="31"/>
        <v>0</v>
      </c>
    </row>
    <row r="67" spans="1:31" hidden="1" x14ac:dyDescent="0.2">
      <c r="A67" s="227"/>
      <c r="B67" s="227"/>
      <c r="C67" s="228" t="s">
        <v>420</v>
      </c>
      <c r="D67" s="229" t="s">
        <v>421</v>
      </c>
      <c r="E67" s="230" t="s">
        <v>39</v>
      </c>
      <c r="F67" s="231">
        <v>0</v>
      </c>
      <c r="G67" s="232" t="e">
        <f t="shared" si="3"/>
        <v>#DIV/0!</v>
      </c>
      <c r="H67" s="233">
        <v>0</v>
      </c>
      <c r="I67" s="234">
        <v>0</v>
      </c>
      <c r="J67" s="936" t="e">
        <f t="shared" si="4"/>
        <v>#DIV/0!</v>
      </c>
      <c r="K67" s="241">
        <f>L67+S67+T67</f>
        <v>0</v>
      </c>
      <c r="L67" s="236">
        <f>SUM(M67:R67)</f>
        <v>0</v>
      </c>
      <c r="M67" s="245"/>
      <c r="N67" s="245"/>
      <c r="O67" s="245"/>
      <c r="P67" s="245"/>
      <c r="Q67" s="245"/>
      <c r="R67" s="245"/>
      <c r="S67" s="245"/>
      <c r="T67" s="236">
        <f>SUM(U67:AD67)</f>
        <v>0</v>
      </c>
      <c r="U67" s="245"/>
      <c r="V67" s="245"/>
      <c r="W67" s="245"/>
      <c r="X67" s="245"/>
      <c r="Y67" s="245"/>
      <c r="Z67" s="245"/>
      <c r="AA67" s="245"/>
      <c r="AB67" s="245"/>
      <c r="AC67" s="245"/>
      <c r="AD67" s="245"/>
      <c r="AE67" s="245"/>
    </row>
    <row r="68" spans="1:31" x14ac:dyDescent="0.2">
      <c r="A68" s="227"/>
      <c r="B68" s="227"/>
      <c r="C68" s="228" t="s">
        <v>413</v>
      </c>
      <c r="D68" s="229" t="s">
        <v>414</v>
      </c>
      <c r="E68" s="230" t="s">
        <v>68</v>
      </c>
      <c r="F68" s="231">
        <v>6199.95</v>
      </c>
      <c r="G68" s="232">
        <f t="shared" si="3"/>
        <v>0.61999499999999996</v>
      </c>
      <c r="H68" s="233">
        <v>10000</v>
      </c>
      <c r="I68" s="234">
        <v>20000</v>
      </c>
      <c r="J68" s="936">
        <f t="shared" si="4"/>
        <v>2</v>
      </c>
      <c r="K68" s="241">
        <f>L68+S68+T68</f>
        <v>20000</v>
      </c>
      <c r="L68" s="236">
        <f>SUM(M68:R68)</f>
        <v>20000</v>
      </c>
      <c r="M68" s="245"/>
      <c r="N68" s="236">
        <v>20000</v>
      </c>
      <c r="O68" s="245"/>
      <c r="P68" s="245"/>
      <c r="Q68" s="245"/>
      <c r="R68" s="245"/>
      <c r="S68" s="245"/>
      <c r="T68" s="236">
        <f>SUM(U68:AD68)</f>
        <v>0</v>
      </c>
      <c r="U68" s="245"/>
      <c r="V68" s="245"/>
      <c r="W68" s="245"/>
      <c r="X68" s="245"/>
      <c r="Y68" s="245"/>
      <c r="Z68" s="245"/>
      <c r="AA68" s="245"/>
      <c r="AB68" s="245"/>
      <c r="AC68" s="245"/>
      <c r="AD68" s="245"/>
      <c r="AE68" s="245"/>
    </row>
    <row r="69" spans="1:31" x14ac:dyDescent="0.2">
      <c r="A69" s="213" t="s">
        <v>104</v>
      </c>
      <c r="B69" s="213"/>
      <c r="C69" s="213"/>
      <c r="D69" s="214" t="s">
        <v>105</v>
      </c>
      <c r="E69" s="215">
        <f>E70+E78+E85+E109+E112+E118+E136</f>
        <v>6370373.4999999991</v>
      </c>
      <c r="F69" s="215">
        <f t="shared" ref="F69:AE69" si="32">F70+F78+F85+F109+F112+F118+F136</f>
        <v>4284432.66</v>
      </c>
      <c r="G69" s="246">
        <f t="shared" si="3"/>
        <v>0.67255595923849687</v>
      </c>
      <c r="H69" s="215">
        <f t="shared" si="32"/>
        <v>6260839.5500000007</v>
      </c>
      <c r="I69" s="217">
        <f t="shared" si="32"/>
        <v>6437897.2399999993</v>
      </c>
      <c r="J69" s="938">
        <f t="shared" si="4"/>
        <v>1.0105996516530782</v>
      </c>
      <c r="K69" s="924">
        <f t="shared" si="32"/>
        <v>6437897.2399999993</v>
      </c>
      <c r="L69" s="215">
        <f t="shared" si="32"/>
        <v>5435087.2399999993</v>
      </c>
      <c r="M69" s="215">
        <f t="shared" si="32"/>
        <v>0</v>
      </c>
      <c r="N69" s="215">
        <f t="shared" si="32"/>
        <v>176500</v>
      </c>
      <c r="O69" s="215">
        <f t="shared" si="32"/>
        <v>1302079.2</v>
      </c>
      <c r="P69" s="215">
        <f t="shared" si="32"/>
        <v>3956508.0399999996</v>
      </c>
      <c r="Q69" s="215">
        <f t="shared" si="32"/>
        <v>0</v>
      </c>
      <c r="R69" s="218">
        <f>R70+R78+R85+R109+R112+R118+R136</f>
        <v>0</v>
      </c>
      <c r="S69" s="215">
        <f t="shared" si="32"/>
        <v>0</v>
      </c>
      <c r="T69" s="215">
        <f t="shared" si="32"/>
        <v>1002810</v>
      </c>
      <c r="U69" s="215">
        <f t="shared" si="32"/>
        <v>0</v>
      </c>
      <c r="V69" s="215">
        <f t="shared" si="32"/>
        <v>0</v>
      </c>
      <c r="W69" s="215">
        <f t="shared" si="32"/>
        <v>0</v>
      </c>
      <c r="X69" s="215">
        <f t="shared" si="32"/>
        <v>0</v>
      </c>
      <c r="Y69" s="215">
        <f t="shared" si="32"/>
        <v>0</v>
      </c>
      <c r="Z69" s="215">
        <f t="shared" si="32"/>
        <v>0</v>
      </c>
      <c r="AA69" s="215">
        <f t="shared" si="32"/>
        <v>0</v>
      </c>
      <c r="AB69" s="215">
        <f t="shared" si="32"/>
        <v>0</v>
      </c>
      <c r="AC69" s="215">
        <f t="shared" si="32"/>
        <v>0</v>
      </c>
      <c r="AD69" s="215">
        <f t="shared" si="32"/>
        <v>1002810</v>
      </c>
      <c r="AE69" s="215">
        <f t="shared" si="32"/>
        <v>0</v>
      </c>
    </row>
    <row r="70" spans="1:31" ht="15" x14ac:dyDescent="0.2">
      <c r="A70" s="219"/>
      <c r="B70" s="220" t="s">
        <v>106</v>
      </c>
      <c r="C70" s="221"/>
      <c r="D70" s="222" t="s">
        <v>107</v>
      </c>
      <c r="E70" s="223">
        <f>E71+E72+E73+E74+E75+E76+E77</f>
        <v>176332</v>
      </c>
      <c r="F70" s="223">
        <f t="shared" ref="F70:AE70" si="33">F71+F72+F73+F74+F75+F76+F77</f>
        <v>115195.99999999999</v>
      </c>
      <c r="G70" s="238">
        <f t="shared" si="3"/>
        <v>0.65329038404827244</v>
      </c>
      <c r="H70" s="223">
        <f t="shared" si="33"/>
        <v>176332</v>
      </c>
      <c r="I70" s="225">
        <f t="shared" si="33"/>
        <v>152140</v>
      </c>
      <c r="J70" s="937">
        <f t="shared" si="4"/>
        <v>0.86280425560873808</v>
      </c>
      <c r="K70" s="925">
        <f t="shared" si="33"/>
        <v>152140</v>
      </c>
      <c r="L70" s="223">
        <f t="shared" si="33"/>
        <v>152140</v>
      </c>
      <c r="M70" s="223">
        <f t="shared" si="33"/>
        <v>0</v>
      </c>
      <c r="N70" s="223">
        <f t="shared" si="33"/>
        <v>0</v>
      </c>
      <c r="O70" s="223">
        <f t="shared" si="33"/>
        <v>0</v>
      </c>
      <c r="P70" s="223">
        <f t="shared" si="33"/>
        <v>152140</v>
      </c>
      <c r="Q70" s="223">
        <f t="shared" si="33"/>
        <v>0</v>
      </c>
      <c r="R70" s="226">
        <f>R71+R72+R73+R74+R75+R76+R77</f>
        <v>0</v>
      </c>
      <c r="S70" s="223">
        <f t="shared" si="33"/>
        <v>0</v>
      </c>
      <c r="T70" s="223">
        <f t="shared" si="33"/>
        <v>0</v>
      </c>
      <c r="U70" s="223">
        <f t="shared" si="33"/>
        <v>0</v>
      </c>
      <c r="V70" s="223">
        <f t="shared" si="33"/>
        <v>0</v>
      </c>
      <c r="W70" s="223">
        <f t="shared" si="33"/>
        <v>0</v>
      </c>
      <c r="X70" s="223">
        <f t="shared" si="33"/>
        <v>0</v>
      </c>
      <c r="Y70" s="223">
        <f t="shared" si="33"/>
        <v>0</v>
      </c>
      <c r="Z70" s="223">
        <f t="shared" si="33"/>
        <v>0</v>
      </c>
      <c r="AA70" s="223">
        <f t="shared" si="33"/>
        <v>0</v>
      </c>
      <c r="AB70" s="223">
        <f t="shared" si="33"/>
        <v>0</v>
      </c>
      <c r="AC70" s="223">
        <f t="shared" si="33"/>
        <v>0</v>
      </c>
      <c r="AD70" s="223">
        <f t="shared" si="33"/>
        <v>0</v>
      </c>
      <c r="AE70" s="223">
        <f t="shared" si="33"/>
        <v>0</v>
      </c>
    </row>
    <row r="71" spans="1:31" x14ac:dyDescent="0.2">
      <c r="A71" s="227"/>
      <c r="B71" s="227"/>
      <c r="C71" s="228" t="s">
        <v>491</v>
      </c>
      <c r="D71" s="229" t="s">
        <v>492</v>
      </c>
      <c r="E71" s="230" t="s">
        <v>493</v>
      </c>
      <c r="F71" s="231">
        <v>0</v>
      </c>
      <c r="G71" s="232">
        <f t="shared" si="3"/>
        <v>0</v>
      </c>
      <c r="H71" s="233">
        <v>1200</v>
      </c>
      <c r="I71" s="234">
        <f>K71</f>
        <v>0</v>
      </c>
      <c r="J71" s="936">
        <f t="shared" si="4"/>
        <v>0</v>
      </c>
      <c r="K71" s="241">
        <f>L71+S71+T71</f>
        <v>0</v>
      </c>
      <c r="L71" s="236">
        <f>SUM(M71:R71)</f>
        <v>0</v>
      </c>
      <c r="M71" s="236"/>
      <c r="N71" s="236"/>
      <c r="O71" s="236"/>
      <c r="P71" s="236">
        <v>0</v>
      </c>
      <c r="Q71" s="236"/>
      <c r="R71" s="236"/>
      <c r="S71" s="236"/>
      <c r="T71" s="236">
        <f>SUM(U71:AD71)</f>
        <v>0</v>
      </c>
      <c r="U71" s="236"/>
      <c r="V71" s="236"/>
      <c r="W71" s="236"/>
      <c r="X71" s="236"/>
      <c r="Y71" s="236"/>
      <c r="Z71" s="236"/>
      <c r="AA71" s="236"/>
      <c r="AB71" s="236"/>
      <c r="AC71" s="236"/>
      <c r="AD71" s="236"/>
      <c r="AE71" s="236"/>
    </row>
    <row r="72" spans="1:31" x14ac:dyDescent="0.2">
      <c r="A72" s="227"/>
      <c r="B72" s="227"/>
      <c r="C72" s="228" t="s">
        <v>401</v>
      </c>
      <c r="D72" s="229" t="s">
        <v>402</v>
      </c>
      <c r="E72" s="230" t="s">
        <v>494</v>
      </c>
      <c r="F72" s="231">
        <v>84557.119999999995</v>
      </c>
      <c r="G72" s="232">
        <f t="shared" ref="G72:G135" si="34">F72/E72</f>
        <v>0.67262761029925311</v>
      </c>
      <c r="H72" s="230" t="s">
        <v>494</v>
      </c>
      <c r="I72" s="234">
        <f t="shared" ref="I72:I77" si="35">K72</f>
        <v>127636.54</v>
      </c>
      <c r="J72" s="936">
        <f t="shared" ref="J72:J135" si="36">I72/E72</f>
        <v>1.0153120267940183</v>
      </c>
      <c r="K72" s="241">
        <f t="shared" ref="K72:K77" si="37">L72+S72+T72</f>
        <v>127636.54</v>
      </c>
      <c r="L72" s="236">
        <f t="shared" ref="L72:L77" si="38">SUM(M72:R72)</f>
        <v>127636.54</v>
      </c>
      <c r="M72" s="236"/>
      <c r="N72" s="236"/>
      <c r="O72" s="236"/>
      <c r="P72" s="236">
        <v>127636.54</v>
      </c>
      <c r="Q72" s="236"/>
      <c r="R72" s="236"/>
      <c r="S72" s="236"/>
      <c r="T72" s="236">
        <f t="shared" ref="T72:T77" si="39">SUM(U72:AD72)</f>
        <v>0</v>
      </c>
      <c r="U72" s="236"/>
      <c r="V72" s="236"/>
      <c r="W72" s="236"/>
      <c r="X72" s="236"/>
      <c r="Y72" s="236"/>
      <c r="Z72" s="236"/>
      <c r="AA72" s="236"/>
      <c r="AB72" s="236"/>
      <c r="AC72" s="236"/>
      <c r="AD72" s="236"/>
      <c r="AE72" s="236"/>
    </row>
    <row r="73" spans="1:31" x14ac:dyDescent="0.2">
      <c r="A73" s="227"/>
      <c r="B73" s="227"/>
      <c r="C73" s="228" t="s">
        <v>495</v>
      </c>
      <c r="D73" s="229" t="s">
        <v>496</v>
      </c>
      <c r="E73" s="230" t="s">
        <v>497</v>
      </c>
      <c r="F73" s="231">
        <v>7663.58</v>
      </c>
      <c r="G73" s="232">
        <f t="shared" si="34"/>
        <v>1</v>
      </c>
      <c r="H73" s="230" t="s">
        <v>497</v>
      </c>
      <c r="I73" s="234">
        <f t="shared" si="35"/>
        <v>0</v>
      </c>
      <c r="J73" s="936">
        <f t="shared" si="36"/>
        <v>0</v>
      </c>
      <c r="K73" s="241">
        <f t="shared" si="37"/>
        <v>0</v>
      </c>
      <c r="L73" s="236">
        <f t="shared" si="38"/>
        <v>0</v>
      </c>
      <c r="M73" s="236"/>
      <c r="N73" s="236"/>
      <c r="O73" s="236"/>
      <c r="P73" s="236">
        <v>0</v>
      </c>
      <c r="Q73" s="236"/>
      <c r="R73" s="236"/>
      <c r="S73" s="236"/>
      <c r="T73" s="236">
        <f t="shared" si="39"/>
        <v>0</v>
      </c>
      <c r="U73" s="236"/>
      <c r="V73" s="236"/>
      <c r="W73" s="236"/>
      <c r="X73" s="236"/>
      <c r="Y73" s="236"/>
      <c r="Z73" s="236"/>
      <c r="AA73" s="236"/>
      <c r="AB73" s="236"/>
      <c r="AC73" s="236"/>
      <c r="AD73" s="236"/>
      <c r="AE73" s="236"/>
    </row>
    <row r="74" spans="1:31" x14ac:dyDescent="0.2">
      <c r="A74" s="227"/>
      <c r="B74" s="227"/>
      <c r="C74" s="228" t="s">
        <v>404</v>
      </c>
      <c r="D74" s="229" t="s">
        <v>405</v>
      </c>
      <c r="E74" s="230" t="s">
        <v>498</v>
      </c>
      <c r="F74" s="231">
        <v>15843.76</v>
      </c>
      <c r="G74" s="232">
        <f t="shared" si="34"/>
        <v>0.70913356744703582</v>
      </c>
      <c r="H74" s="230" t="s">
        <v>498</v>
      </c>
      <c r="I74" s="234">
        <f t="shared" si="35"/>
        <v>21825.84</v>
      </c>
      <c r="J74" s="936">
        <f t="shared" si="36"/>
        <v>0.97687895939652025</v>
      </c>
      <c r="K74" s="241">
        <f t="shared" si="37"/>
        <v>21825.84</v>
      </c>
      <c r="L74" s="236">
        <f t="shared" si="38"/>
        <v>21825.84</v>
      </c>
      <c r="M74" s="236"/>
      <c r="N74" s="236"/>
      <c r="O74" s="236"/>
      <c r="P74" s="236">
        <v>21825.84</v>
      </c>
      <c r="Q74" s="236"/>
      <c r="R74" s="236"/>
      <c r="S74" s="236"/>
      <c r="T74" s="236">
        <f t="shared" si="39"/>
        <v>0</v>
      </c>
      <c r="U74" s="236"/>
      <c r="V74" s="236"/>
      <c r="W74" s="236"/>
      <c r="X74" s="236"/>
      <c r="Y74" s="236"/>
      <c r="Z74" s="236"/>
      <c r="AA74" s="236"/>
      <c r="AB74" s="236"/>
      <c r="AC74" s="236"/>
      <c r="AD74" s="236"/>
      <c r="AE74" s="236"/>
    </row>
    <row r="75" spans="1:31" x14ac:dyDescent="0.2">
      <c r="A75" s="227"/>
      <c r="B75" s="227"/>
      <c r="C75" s="228" t="s">
        <v>407</v>
      </c>
      <c r="D75" s="229" t="s">
        <v>408</v>
      </c>
      <c r="E75" s="230" t="s">
        <v>499</v>
      </c>
      <c r="F75" s="231">
        <v>2259.4</v>
      </c>
      <c r="G75" s="232">
        <f t="shared" si="34"/>
        <v>0.86621478630250426</v>
      </c>
      <c r="H75" s="230" t="s">
        <v>499</v>
      </c>
      <c r="I75" s="234">
        <f t="shared" si="35"/>
        <v>2677.62</v>
      </c>
      <c r="J75" s="936">
        <f t="shared" si="36"/>
        <v>1.0265530831633669</v>
      </c>
      <c r="K75" s="241">
        <f t="shared" si="37"/>
        <v>2677.62</v>
      </c>
      <c r="L75" s="236">
        <f t="shared" si="38"/>
        <v>2677.62</v>
      </c>
      <c r="M75" s="236"/>
      <c r="N75" s="236"/>
      <c r="O75" s="236"/>
      <c r="P75" s="236">
        <v>2677.62</v>
      </c>
      <c r="Q75" s="236"/>
      <c r="R75" s="236"/>
      <c r="S75" s="236"/>
      <c r="T75" s="236">
        <f t="shared" si="39"/>
        <v>0</v>
      </c>
      <c r="U75" s="236"/>
      <c r="V75" s="236"/>
      <c r="W75" s="236"/>
      <c r="X75" s="236"/>
      <c r="Y75" s="236"/>
      <c r="Z75" s="236"/>
      <c r="AA75" s="236"/>
      <c r="AB75" s="236"/>
      <c r="AC75" s="236"/>
      <c r="AD75" s="236"/>
      <c r="AE75" s="236"/>
    </row>
    <row r="76" spans="1:31" x14ac:dyDescent="0.2">
      <c r="A76" s="227"/>
      <c r="B76" s="227"/>
      <c r="C76" s="228" t="s">
        <v>410</v>
      </c>
      <c r="D76" s="229" t="s">
        <v>411</v>
      </c>
      <c r="E76" s="230" t="s">
        <v>500</v>
      </c>
      <c r="F76" s="231">
        <v>2569.7399999999998</v>
      </c>
      <c r="G76" s="232">
        <f t="shared" si="34"/>
        <v>0.22330031282586024</v>
      </c>
      <c r="H76" s="230" t="s">
        <v>500</v>
      </c>
      <c r="I76" s="234">
        <f t="shared" si="35"/>
        <v>0</v>
      </c>
      <c r="J76" s="936">
        <f t="shared" si="36"/>
        <v>0</v>
      </c>
      <c r="K76" s="241">
        <f t="shared" si="37"/>
        <v>0</v>
      </c>
      <c r="L76" s="236">
        <f t="shared" si="38"/>
        <v>0</v>
      </c>
      <c r="M76" s="236"/>
      <c r="N76" s="236"/>
      <c r="O76" s="236"/>
      <c r="P76" s="236"/>
      <c r="Q76" s="236"/>
      <c r="R76" s="236"/>
      <c r="S76" s="236"/>
      <c r="T76" s="236">
        <f t="shared" si="39"/>
        <v>0</v>
      </c>
      <c r="U76" s="236"/>
      <c r="V76" s="236"/>
      <c r="W76" s="236"/>
      <c r="X76" s="236"/>
      <c r="Y76" s="236"/>
      <c r="Z76" s="236"/>
      <c r="AA76" s="236"/>
      <c r="AB76" s="236"/>
      <c r="AC76" s="236"/>
      <c r="AD76" s="236"/>
      <c r="AE76" s="236"/>
    </row>
    <row r="77" spans="1:31" x14ac:dyDescent="0.2">
      <c r="A77" s="227"/>
      <c r="B77" s="227"/>
      <c r="C77" s="228" t="s">
        <v>413</v>
      </c>
      <c r="D77" s="229" t="s">
        <v>414</v>
      </c>
      <c r="E77" s="230" t="s">
        <v>501</v>
      </c>
      <c r="F77" s="231">
        <v>2302.4</v>
      </c>
      <c r="G77" s="232">
        <f t="shared" si="34"/>
        <v>0.43457908644771615</v>
      </c>
      <c r="H77" s="230" t="s">
        <v>501</v>
      </c>
      <c r="I77" s="234">
        <f t="shared" si="35"/>
        <v>0</v>
      </c>
      <c r="J77" s="936">
        <f t="shared" si="36"/>
        <v>0</v>
      </c>
      <c r="K77" s="241">
        <f t="shared" si="37"/>
        <v>0</v>
      </c>
      <c r="L77" s="236">
        <f t="shared" si="38"/>
        <v>0</v>
      </c>
      <c r="M77" s="236"/>
      <c r="N77" s="236"/>
      <c r="O77" s="236"/>
      <c r="P77" s="236"/>
      <c r="Q77" s="236"/>
      <c r="R77" s="236"/>
      <c r="S77" s="236"/>
      <c r="T77" s="236">
        <f t="shared" si="39"/>
        <v>0</v>
      </c>
      <c r="U77" s="236"/>
      <c r="V77" s="236"/>
      <c r="W77" s="236"/>
      <c r="X77" s="236"/>
      <c r="Y77" s="236"/>
      <c r="Z77" s="236"/>
      <c r="AA77" s="236"/>
      <c r="AB77" s="236"/>
      <c r="AC77" s="236"/>
      <c r="AD77" s="236"/>
      <c r="AE77" s="236"/>
    </row>
    <row r="78" spans="1:31" ht="15" x14ac:dyDescent="0.2">
      <c r="A78" s="219"/>
      <c r="B78" s="220" t="s">
        <v>502</v>
      </c>
      <c r="C78" s="221"/>
      <c r="D78" s="222" t="s">
        <v>503</v>
      </c>
      <c r="E78" s="223">
        <f>E79+E80+E81+E82+E83+E84</f>
        <v>341888.8</v>
      </c>
      <c r="F78" s="223">
        <f t="shared" ref="F78:AE78" si="40">F79+F80+F81+F82+F83+F84</f>
        <v>245474.60000000003</v>
      </c>
      <c r="G78" s="238">
        <f t="shared" si="34"/>
        <v>0.71799544179277019</v>
      </c>
      <c r="H78" s="223">
        <f t="shared" si="40"/>
        <v>335139.64999999997</v>
      </c>
      <c r="I78" s="225">
        <f t="shared" si="40"/>
        <v>359943.2</v>
      </c>
      <c r="J78" s="937">
        <f t="shared" si="36"/>
        <v>1.0528078135346932</v>
      </c>
      <c r="K78" s="925">
        <f t="shared" si="40"/>
        <v>359943.2</v>
      </c>
      <c r="L78" s="223">
        <f t="shared" si="40"/>
        <v>359943.2</v>
      </c>
      <c r="M78" s="223">
        <f t="shared" si="40"/>
        <v>0</v>
      </c>
      <c r="N78" s="223">
        <f t="shared" si="40"/>
        <v>0</v>
      </c>
      <c r="O78" s="223">
        <f t="shared" si="40"/>
        <v>359943.2</v>
      </c>
      <c r="P78" s="223">
        <f t="shared" si="40"/>
        <v>0</v>
      </c>
      <c r="Q78" s="223">
        <f t="shared" si="40"/>
        <v>0</v>
      </c>
      <c r="R78" s="226">
        <f>R79+R80+R81+R82+R83+R84</f>
        <v>0</v>
      </c>
      <c r="S78" s="223">
        <f t="shared" si="40"/>
        <v>0</v>
      </c>
      <c r="T78" s="223">
        <f t="shared" si="40"/>
        <v>0</v>
      </c>
      <c r="U78" s="223">
        <f t="shared" si="40"/>
        <v>0</v>
      </c>
      <c r="V78" s="223">
        <f t="shared" si="40"/>
        <v>0</v>
      </c>
      <c r="W78" s="223">
        <f t="shared" si="40"/>
        <v>0</v>
      </c>
      <c r="X78" s="223">
        <f t="shared" si="40"/>
        <v>0</v>
      </c>
      <c r="Y78" s="223">
        <f t="shared" si="40"/>
        <v>0</v>
      </c>
      <c r="Z78" s="223">
        <f t="shared" si="40"/>
        <v>0</v>
      </c>
      <c r="AA78" s="223">
        <f t="shared" si="40"/>
        <v>0</v>
      </c>
      <c r="AB78" s="223">
        <f t="shared" si="40"/>
        <v>0</v>
      </c>
      <c r="AC78" s="223">
        <f t="shared" si="40"/>
        <v>0</v>
      </c>
      <c r="AD78" s="223">
        <f t="shared" si="40"/>
        <v>0</v>
      </c>
      <c r="AE78" s="223">
        <f t="shared" si="40"/>
        <v>0</v>
      </c>
    </row>
    <row r="79" spans="1:31" x14ac:dyDescent="0.2">
      <c r="A79" s="227"/>
      <c r="B79" s="227"/>
      <c r="C79" s="228" t="s">
        <v>504</v>
      </c>
      <c r="D79" s="229" t="s">
        <v>505</v>
      </c>
      <c r="E79" s="230" t="s">
        <v>506</v>
      </c>
      <c r="F79" s="231">
        <v>232349.53</v>
      </c>
      <c r="G79" s="232">
        <f t="shared" si="34"/>
        <v>0.74022880077275777</v>
      </c>
      <c r="H79" s="233">
        <v>310343.40999999997</v>
      </c>
      <c r="I79" s="234">
        <v>328943.2</v>
      </c>
      <c r="J79" s="936">
        <f t="shared" si="36"/>
        <v>1.0479609339358398</v>
      </c>
      <c r="K79" s="241">
        <f>L79+S79+T79</f>
        <v>328943.2</v>
      </c>
      <c r="L79" s="236">
        <f t="shared" ref="L79:L84" si="41">SUM(M79:R79)</f>
        <v>328943.2</v>
      </c>
      <c r="M79" s="236"/>
      <c r="N79" s="236"/>
      <c r="O79" s="236">
        <f>325843.2+3100</f>
        <v>328943.2</v>
      </c>
      <c r="P79" s="236"/>
      <c r="Q79" s="236"/>
      <c r="R79" s="236"/>
      <c r="S79" s="236"/>
      <c r="T79" s="236">
        <f t="shared" ref="T79:T84" si="42">SUM(U79:AD79)</f>
        <v>0</v>
      </c>
      <c r="U79" s="236"/>
      <c r="V79" s="236"/>
      <c r="W79" s="236"/>
      <c r="X79" s="236"/>
      <c r="Y79" s="236"/>
      <c r="Z79" s="236"/>
      <c r="AA79" s="236"/>
      <c r="AB79" s="236"/>
      <c r="AC79" s="236"/>
      <c r="AD79" s="236"/>
      <c r="AE79" s="236"/>
    </row>
    <row r="80" spans="1:31" x14ac:dyDescent="0.2">
      <c r="A80" s="227"/>
      <c r="B80" s="227"/>
      <c r="C80" s="228" t="s">
        <v>507</v>
      </c>
      <c r="D80" s="229" t="s">
        <v>508</v>
      </c>
      <c r="E80" s="230" t="s">
        <v>351</v>
      </c>
      <c r="F80" s="231">
        <v>2250</v>
      </c>
      <c r="G80" s="232">
        <f t="shared" si="34"/>
        <v>0.5625</v>
      </c>
      <c r="H80" s="233">
        <v>4000</v>
      </c>
      <c r="I80" s="234">
        <v>4000</v>
      </c>
      <c r="J80" s="936">
        <f t="shared" si="36"/>
        <v>1</v>
      </c>
      <c r="K80" s="241">
        <f t="shared" ref="K80:K84" si="43">L80+S80+T80</f>
        <v>4000</v>
      </c>
      <c r="L80" s="236">
        <f t="shared" si="41"/>
        <v>4000</v>
      </c>
      <c r="M80" s="236"/>
      <c r="N80" s="236"/>
      <c r="O80" s="236">
        <v>4000</v>
      </c>
      <c r="P80" s="236"/>
      <c r="Q80" s="236"/>
      <c r="R80" s="236"/>
      <c r="S80" s="236"/>
      <c r="T80" s="236">
        <f t="shared" si="42"/>
        <v>0</v>
      </c>
      <c r="U80" s="236"/>
      <c r="V80" s="236"/>
      <c r="W80" s="236"/>
      <c r="X80" s="236"/>
      <c r="Y80" s="236"/>
      <c r="Z80" s="236"/>
      <c r="AA80" s="236"/>
      <c r="AB80" s="236"/>
      <c r="AC80" s="236"/>
      <c r="AD80" s="236"/>
      <c r="AE80" s="236"/>
    </row>
    <row r="81" spans="1:31" x14ac:dyDescent="0.2">
      <c r="A81" s="227"/>
      <c r="B81" s="227"/>
      <c r="C81" s="228" t="s">
        <v>410</v>
      </c>
      <c r="D81" s="229" t="s">
        <v>411</v>
      </c>
      <c r="E81" s="230" t="s">
        <v>68</v>
      </c>
      <c r="F81" s="231">
        <v>4710.7299999999996</v>
      </c>
      <c r="G81" s="232">
        <f t="shared" si="34"/>
        <v>0.47107299999999996</v>
      </c>
      <c r="H81" s="233">
        <v>10000</v>
      </c>
      <c r="I81" s="234">
        <v>12000</v>
      </c>
      <c r="J81" s="936">
        <f t="shared" si="36"/>
        <v>1.2</v>
      </c>
      <c r="K81" s="241">
        <f t="shared" si="43"/>
        <v>12000</v>
      </c>
      <c r="L81" s="236">
        <f t="shared" si="41"/>
        <v>12000</v>
      </c>
      <c r="M81" s="236"/>
      <c r="N81" s="236"/>
      <c r="O81" s="236">
        <f>22000-10000</f>
        <v>12000</v>
      </c>
      <c r="P81" s="236"/>
      <c r="Q81" s="236"/>
      <c r="R81" s="236"/>
      <c r="S81" s="236"/>
      <c r="T81" s="236">
        <f t="shared" si="42"/>
        <v>0</v>
      </c>
      <c r="U81" s="236"/>
      <c r="V81" s="236"/>
      <c r="W81" s="236"/>
      <c r="X81" s="236"/>
      <c r="Y81" s="236"/>
      <c r="Z81" s="236"/>
      <c r="AA81" s="236"/>
      <c r="AB81" s="236"/>
      <c r="AC81" s="236"/>
      <c r="AD81" s="236"/>
      <c r="AE81" s="236"/>
    </row>
    <row r="82" spans="1:31" x14ac:dyDescent="0.2">
      <c r="A82" s="227"/>
      <c r="B82" s="227"/>
      <c r="C82" s="228" t="s">
        <v>413</v>
      </c>
      <c r="D82" s="229" t="s">
        <v>414</v>
      </c>
      <c r="E82" s="230" t="s">
        <v>509</v>
      </c>
      <c r="F82" s="231">
        <v>4544.2</v>
      </c>
      <c r="G82" s="232">
        <f t="shared" si="34"/>
        <v>0.50491111111111109</v>
      </c>
      <c r="H82" s="233">
        <v>9000</v>
      </c>
      <c r="I82" s="234">
        <v>10000</v>
      </c>
      <c r="J82" s="936">
        <f t="shared" si="36"/>
        <v>1.1111111111111112</v>
      </c>
      <c r="K82" s="241">
        <f t="shared" si="43"/>
        <v>10000</v>
      </c>
      <c r="L82" s="236">
        <f t="shared" si="41"/>
        <v>10000</v>
      </c>
      <c r="M82" s="236"/>
      <c r="N82" s="236"/>
      <c r="O82" s="236">
        <v>10000</v>
      </c>
      <c r="P82" s="236"/>
      <c r="Q82" s="236"/>
      <c r="R82" s="236"/>
      <c r="S82" s="236"/>
      <c r="T82" s="236">
        <f t="shared" si="42"/>
        <v>0</v>
      </c>
      <c r="U82" s="236"/>
      <c r="V82" s="236"/>
      <c r="W82" s="236"/>
      <c r="X82" s="236"/>
      <c r="Y82" s="236"/>
      <c r="Z82" s="236"/>
      <c r="AA82" s="236"/>
      <c r="AB82" s="236"/>
      <c r="AC82" s="236"/>
      <c r="AD82" s="236"/>
      <c r="AE82" s="236"/>
    </row>
    <row r="83" spans="1:31" x14ac:dyDescent="0.2">
      <c r="A83" s="227"/>
      <c r="B83" s="227"/>
      <c r="C83" s="228" t="s">
        <v>451</v>
      </c>
      <c r="D83" s="229" t="s">
        <v>452</v>
      </c>
      <c r="E83" s="230" t="s">
        <v>113</v>
      </c>
      <c r="F83" s="231">
        <v>608.82000000000005</v>
      </c>
      <c r="G83" s="232">
        <f t="shared" si="34"/>
        <v>0.60882000000000003</v>
      </c>
      <c r="H83" s="233">
        <v>784.92</v>
      </c>
      <c r="I83" s="234">
        <v>1000</v>
      </c>
      <c r="J83" s="936">
        <f t="shared" si="36"/>
        <v>1</v>
      </c>
      <c r="K83" s="241">
        <f t="shared" si="43"/>
        <v>1000</v>
      </c>
      <c r="L83" s="236">
        <f t="shared" si="41"/>
        <v>1000</v>
      </c>
      <c r="M83" s="236"/>
      <c r="N83" s="236"/>
      <c r="O83" s="236">
        <v>1000</v>
      </c>
      <c r="P83" s="236"/>
      <c r="Q83" s="236"/>
      <c r="R83" s="236"/>
      <c r="S83" s="236"/>
      <c r="T83" s="236">
        <f t="shared" si="42"/>
        <v>0</v>
      </c>
      <c r="U83" s="236"/>
      <c r="V83" s="236"/>
      <c r="W83" s="236"/>
      <c r="X83" s="236"/>
      <c r="Y83" s="236"/>
      <c r="Z83" s="236"/>
      <c r="AA83" s="236"/>
      <c r="AB83" s="236"/>
      <c r="AC83" s="236"/>
      <c r="AD83" s="236"/>
      <c r="AE83" s="236"/>
    </row>
    <row r="84" spans="1:31" x14ac:dyDescent="0.2">
      <c r="A84" s="227"/>
      <c r="B84" s="227"/>
      <c r="C84" s="228" t="s">
        <v>510</v>
      </c>
      <c r="D84" s="229" t="s">
        <v>511</v>
      </c>
      <c r="E84" s="230" t="s">
        <v>351</v>
      </c>
      <c r="F84" s="231">
        <v>1011.32</v>
      </c>
      <c r="G84" s="232">
        <f t="shared" si="34"/>
        <v>0.25283</v>
      </c>
      <c r="H84" s="233">
        <v>1011.32</v>
      </c>
      <c r="I84" s="234">
        <v>4000</v>
      </c>
      <c r="J84" s="936">
        <f t="shared" si="36"/>
        <v>1</v>
      </c>
      <c r="K84" s="241">
        <f t="shared" si="43"/>
        <v>4000</v>
      </c>
      <c r="L84" s="236">
        <f t="shared" si="41"/>
        <v>4000</v>
      </c>
      <c r="M84" s="236"/>
      <c r="N84" s="236"/>
      <c r="O84" s="236">
        <v>4000</v>
      </c>
      <c r="P84" s="236"/>
      <c r="Q84" s="236"/>
      <c r="R84" s="236"/>
      <c r="S84" s="236"/>
      <c r="T84" s="236">
        <f t="shared" si="42"/>
        <v>0</v>
      </c>
      <c r="U84" s="236"/>
      <c r="V84" s="236"/>
      <c r="W84" s="236"/>
      <c r="X84" s="236"/>
      <c r="Y84" s="236"/>
      <c r="Z84" s="236"/>
      <c r="AA84" s="236"/>
      <c r="AB84" s="236"/>
      <c r="AC84" s="236"/>
      <c r="AD84" s="236"/>
      <c r="AE84" s="236"/>
    </row>
    <row r="85" spans="1:31" ht="15" x14ac:dyDescent="0.2">
      <c r="A85" s="219"/>
      <c r="B85" s="220" t="s">
        <v>111</v>
      </c>
      <c r="C85" s="221"/>
      <c r="D85" s="222" t="s">
        <v>112</v>
      </c>
      <c r="E85" s="223">
        <f>E86+E87+E88+E89+E90+E91+E92+E93+E94+E95+E96+E97+E98+E99+E100+E101+E102+E103+E104+E105+E106+E107+E108</f>
        <v>4501127.2699999996</v>
      </c>
      <c r="F85" s="223">
        <f t="shared" ref="F85:AE85" si="44">F86+F87+F88+F89+F90+F91+F92+F93+F94+F95+F96+F97+F98+F99+F100+F101+F102+F103+F104+F105+F106+F107+F108</f>
        <v>2997052.1100000003</v>
      </c>
      <c r="G85" s="238">
        <f t="shared" si="34"/>
        <v>0.66584478292256788</v>
      </c>
      <c r="H85" s="223">
        <f t="shared" si="44"/>
        <v>4411010.5</v>
      </c>
      <c r="I85" s="225">
        <f t="shared" si="44"/>
        <v>4579468.0399999991</v>
      </c>
      <c r="J85" s="937">
        <f t="shared" si="36"/>
        <v>1.0174047000452844</v>
      </c>
      <c r="K85" s="925">
        <f t="shared" si="44"/>
        <v>4579468.0399999991</v>
      </c>
      <c r="L85" s="223">
        <f t="shared" si="44"/>
        <v>4579468.0399999991</v>
      </c>
      <c r="M85" s="223">
        <f t="shared" si="44"/>
        <v>0</v>
      </c>
      <c r="N85" s="223">
        <f t="shared" si="44"/>
        <v>36000</v>
      </c>
      <c r="O85" s="223">
        <f t="shared" si="44"/>
        <v>822100</v>
      </c>
      <c r="P85" s="223">
        <f t="shared" si="44"/>
        <v>3721368.0399999996</v>
      </c>
      <c r="Q85" s="223">
        <f t="shared" si="44"/>
        <v>0</v>
      </c>
      <c r="R85" s="226">
        <f>R86+R87+R88+R89+R90+R91+R92+R93+R94+R95+R96+R97+R98+R99+R100+R101+R102+R103+R104+R105+R106+R107+R108</f>
        <v>0</v>
      </c>
      <c r="S85" s="223">
        <f t="shared" si="44"/>
        <v>0</v>
      </c>
      <c r="T85" s="223">
        <f t="shared" si="44"/>
        <v>0</v>
      </c>
      <c r="U85" s="223">
        <f t="shared" si="44"/>
        <v>0</v>
      </c>
      <c r="V85" s="223">
        <f t="shared" si="44"/>
        <v>0</v>
      </c>
      <c r="W85" s="223">
        <f t="shared" si="44"/>
        <v>0</v>
      </c>
      <c r="X85" s="223">
        <f t="shared" si="44"/>
        <v>0</v>
      </c>
      <c r="Y85" s="223">
        <f t="shared" si="44"/>
        <v>0</v>
      </c>
      <c r="Z85" s="223">
        <f t="shared" si="44"/>
        <v>0</v>
      </c>
      <c r="AA85" s="223">
        <f t="shared" si="44"/>
        <v>0</v>
      </c>
      <c r="AB85" s="223">
        <f t="shared" si="44"/>
        <v>0</v>
      </c>
      <c r="AC85" s="223">
        <f t="shared" si="44"/>
        <v>0</v>
      </c>
      <c r="AD85" s="223">
        <f t="shared" si="44"/>
        <v>0</v>
      </c>
      <c r="AE85" s="223">
        <f t="shared" si="44"/>
        <v>0</v>
      </c>
    </row>
    <row r="86" spans="1:31" x14ac:dyDescent="0.2">
      <c r="A86" s="227"/>
      <c r="B86" s="227"/>
      <c r="C86" s="228" t="s">
        <v>491</v>
      </c>
      <c r="D86" s="229" t="s">
        <v>492</v>
      </c>
      <c r="E86" s="230" t="s">
        <v>512</v>
      </c>
      <c r="F86" s="231">
        <v>2862.81</v>
      </c>
      <c r="G86" s="232">
        <f t="shared" si="34"/>
        <v>0.42728507462686566</v>
      </c>
      <c r="H86" s="233">
        <v>6700</v>
      </c>
      <c r="I86" s="234">
        <f>K86</f>
        <v>6900</v>
      </c>
      <c r="J86" s="936">
        <f t="shared" si="36"/>
        <v>1.0298507462686568</v>
      </c>
      <c r="K86" s="241">
        <f>L86+S86+T86</f>
        <v>6900</v>
      </c>
      <c r="L86" s="236">
        <f>SUM(M86:R86)</f>
        <v>6900</v>
      </c>
      <c r="M86" s="236"/>
      <c r="N86" s="236"/>
      <c r="O86" s="236">
        <v>6900</v>
      </c>
      <c r="P86" s="236"/>
      <c r="Q86" s="236"/>
      <c r="R86" s="236"/>
      <c r="S86" s="236"/>
      <c r="T86" s="236">
        <f>SUM(U86:AD86)</f>
        <v>0</v>
      </c>
      <c r="U86" s="236"/>
      <c r="V86" s="236"/>
      <c r="W86" s="236"/>
      <c r="X86" s="236"/>
      <c r="Y86" s="236"/>
      <c r="Z86" s="236"/>
      <c r="AA86" s="236"/>
      <c r="AB86" s="236"/>
      <c r="AC86" s="236"/>
      <c r="AD86" s="236"/>
      <c r="AE86" s="236"/>
    </row>
    <row r="87" spans="1:31" x14ac:dyDescent="0.2">
      <c r="A87" s="227"/>
      <c r="B87" s="227"/>
      <c r="C87" s="228" t="s">
        <v>401</v>
      </c>
      <c r="D87" s="229" t="s">
        <v>402</v>
      </c>
      <c r="E87" s="230" t="s">
        <v>513</v>
      </c>
      <c r="F87" s="231">
        <v>1827367.77</v>
      </c>
      <c r="G87" s="232">
        <f t="shared" si="34"/>
        <v>0.65718544440264848</v>
      </c>
      <c r="H87" s="233">
        <f>2780596.84-170284.84+100000</f>
        <v>2710312</v>
      </c>
      <c r="I87" s="234">
        <f t="shared" ref="I87:I108" si="45">K87</f>
        <v>2774201.1899999995</v>
      </c>
      <c r="J87" s="936">
        <f t="shared" si="36"/>
        <v>0.99769990028471711</v>
      </c>
      <c r="K87" s="241">
        <f t="shared" ref="K87:K108" si="46">L87+S87+T87</f>
        <v>2774201.1899999995</v>
      </c>
      <c r="L87" s="236">
        <f t="shared" ref="L87:L108" si="47">SUM(M87:R87)</f>
        <v>2774201.1899999995</v>
      </c>
      <c r="M87" s="236"/>
      <c r="N87" s="236"/>
      <c r="O87" s="236"/>
      <c r="P87" s="236">
        <f>2623501.32+54266.8+200574.09-7843.29-21038.4+78705.04+132164.16+3964.92-2941.87-127636.54-159515.04</f>
        <v>2774201.1899999995</v>
      </c>
      <c r="Q87" s="236"/>
      <c r="R87" s="236"/>
      <c r="S87" s="236"/>
      <c r="T87" s="236">
        <f t="shared" ref="T87:T108" si="48">SUM(U87:AD87)</f>
        <v>0</v>
      </c>
      <c r="U87" s="236"/>
      <c r="V87" s="236"/>
      <c r="W87" s="236"/>
      <c r="X87" s="236"/>
      <c r="Y87" s="236"/>
      <c r="Z87" s="236"/>
      <c r="AA87" s="236"/>
      <c r="AB87" s="236"/>
      <c r="AC87" s="236"/>
      <c r="AD87" s="236"/>
      <c r="AE87" s="236"/>
    </row>
    <row r="88" spans="1:31" x14ac:dyDescent="0.2">
      <c r="A88" s="227"/>
      <c r="B88" s="227"/>
      <c r="C88" s="228" t="s">
        <v>495</v>
      </c>
      <c r="D88" s="229" t="s">
        <v>496</v>
      </c>
      <c r="E88" s="230" t="s">
        <v>514</v>
      </c>
      <c r="F88" s="231">
        <v>191376.34</v>
      </c>
      <c r="G88" s="232">
        <f t="shared" si="34"/>
        <v>1</v>
      </c>
      <c r="H88" s="233">
        <v>191376.34</v>
      </c>
      <c r="I88" s="234">
        <f t="shared" si="45"/>
        <v>212343.81</v>
      </c>
      <c r="J88" s="936">
        <f t="shared" si="36"/>
        <v>1.1095614536258767</v>
      </c>
      <c r="K88" s="241">
        <f t="shared" si="46"/>
        <v>212343.81</v>
      </c>
      <c r="L88" s="236">
        <f t="shared" si="47"/>
        <v>212343.81</v>
      </c>
      <c r="M88" s="236"/>
      <c r="N88" s="236"/>
      <c r="O88" s="236"/>
      <c r="P88" s="236">
        <f>212974+11195-11825.19</f>
        <v>212343.81</v>
      </c>
      <c r="Q88" s="236"/>
      <c r="R88" s="236"/>
      <c r="S88" s="236"/>
      <c r="T88" s="236">
        <f t="shared" si="48"/>
        <v>0</v>
      </c>
      <c r="U88" s="236"/>
      <c r="V88" s="236"/>
      <c r="W88" s="236"/>
      <c r="X88" s="236"/>
      <c r="Y88" s="236"/>
      <c r="Z88" s="236"/>
      <c r="AA88" s="236"/>
      <c r="AB88" s="236"/>
      <c r="AC88" s="236"/>
      <c r="AD88" s="236"/>
      <c r="AE88" s="236"/>
    </row>
    <row r="89" spans="1:31" x14ac:dyDescent="0.2">
      <c r="A89" s="227"/>
      <c r="B89" s="227"/>
      <c r="C89" s="228" t="s">
        <v>404</v>
      </c>
      <c r="D89" s="229" t="s">
        <v>405</v>
      </c>
      <c r="E89" s="230" t="s">
        <v>515</v>
      </c>
      <c r="F89" s="231">
        <v>295229.32</v>
      </c>
      <c r="G89" s="232">
        <f t="shared" si="34"/>
        <v>0.65594871736990334</v>
      </c>
      <c r="H89" s="233">
        <v>439644.71</v>
      </c>
      <c r="I89" s="234">
        <f t="shared" si="45"/>
        <v>484834.07</v>
      </c>
      <c r="J89" s="936">
        <f t="shared" si="36"/>
        <v>1.0772178263111873</v>
      </c>
      <c r="K89" s="241">
        <f t="shared" si="46"/>
        <v>484834.07</v>
      </c>
      <c r="L89" s="236">
        <f t="shared" si="47"/>
        <v>484834.07</v>
      </c>
      <c r="M89" s="236"/>
      <c r="N89" s="236"/>
      <c r="O89" s="236"/>
      <c r="P89" s="236">
        <f>498495.84+25192.42-503.06-21825.84-26525.29+10000</f>
        <v>484834.07</v>
      </c>
      <c r="Q89" s="236"/>
      <c r="R89" s="236"/>
      <c r="S89" s="236"/>
      <c r="T89" s="236">
        <f t="shared" si="48"/>
        <v>0</v>
      </c>
      <c r="U89" s="236"/>
      <c r="V89" s="236"/>
      <c r="W89" s="236"/>
      <c r="X89" s="236"/>
      <c r="Y89" s="236"/>
      <c r="Z89" s="236"/>
      <c r="AA89" s="236"/>
      <c r="AB89" s="236"/>
      <c r="AC89" s="236"/>
      <c r="AD89" s="236"/>
      <c r="AE89" s="236"/>
    </row>
    <row r="90" spans="1:31" x14ac:dyDescent="0.2">
      <c r="A90" s="227"/>
      <c r="B90" s="227"/>
      <c r="C90" s="228" t="s">
        <v>407</v>
      </c>
      <c r="D90" s="229" t="s">
        <v>408</v>
      </c>
      <c r="E90" s="230" t="s">
        <v>516</v>
      </c>
      <c r="F90" s="231">
        <v>19189.39</v>
      </c>
      <c r="G90" s="232">
        <f t="shared" si="34"/>
        <v>0.37234554687540927</v>
      </c>
      <c r="H90" s="233">
        <v>48983.91</v>
      </c>
      <c r="I90" s="234">
        <f t="shared" si="45"/>
        <v>57887.969999999994</v>
      </c>
      <c r="J90" s="936">
        <f t="shared" si="36"/>
        <v>1.1232419502213089</v>
      </c>
      <c r="K90" s="241">
        <f t="shared" si="46"/>
        <v>57887.969999999994</v>
      </c>
      <c r="L90" s="236">
        <f t="shared" si="47"/>
        <v>57887.969999999994</v>
      </c>
      <c r="M90" s="236"/>
      <c r="N90" s="236"/>
      <c r="O90" s="236"/>
      <c r="P90" s="236">
        <f>55331.95+307.5-72.07-2677.62-3005.55+8003.76</f>
        <v>57887.969999999994</v>
      </c>
      <c r="Q90" s="236"/>
      <c r="R90" s="236"/>
      <c r="S90" s="236"/>
      <c r="T90" s="236">
        <f t="shared" si="48"/>
        <v>0</v>
      </c>
      <c r="U90" s="236"/>
      <c r="V90" s="236"/>
      <c r="W90" s="236"/>
      <c r="X90" s="236"/>
      <c r="Y90" s="236"/>
      <c r="Z90" s="236"/>
      <c r="AA90" s="236"/>
      <c r="AB90" s="236"/>
      <c r="AC90" s="236"/>
      <c r="AD90" s="236"/>
      <c r="AE90" s="236"/>
    </row>
    <row r="91" spans="1:31" ht="22.5" x14ac:dyDescent="0.2">
      <c r="A91" s="227"/>
      <c r="B91" s="227"/>
      <c r="C91" s="228" t="s">
        <v>517</v>
      </c>
      <c r="D91" s="229" t="s">
        <v>518</v>
      </c>
      <c r="E91" s="230" t="s">
        <v>519</v>
      </c>
      <c r="F91" s="231">
        <v>9305</v>
      </c>
      <c r="G91" s="232">
        <f t="shared" si="34"/>
        <v>0.52585476123198649</v>
      </c>
      <c r="H91" s="233">
        <v>15421</v>
      </c>
      <c r="I91" s="234">
        <f t="shared" si="45"/>
        <v>46000</v>
      </c>
      <c r="J91" s="936">
        <f t="shared" si="36"/>
        <v>2.5996044080248657</v>
      </c>
      <c r="K91" s="241">
        <f t="shared" si="46"/>
        <v>46000</v>
      </c>
      <c r="L91" s="236">
        <f t="shared" si="47"/>
        <v>46000</v>
      </c>
      <c r="M91" s="236"/>
      <c r="N91" s="236"/>
      <c r="O91" s="236"/>
      <c r="P91" s="236">
        <v>46000</v>
      </c>
      <c r="Q91" s="236"/>
      <c r="R91" s="236"/>
      <c r="S91" s="236"/>
      <c r="T91" s="236">
        <f t="shared" si="48"/>
        <v>0</v>
      </c>
      <c r="U91" s="236"/>
      <c r="V91" s="236"/>
      <c r="W91" s="236"/>
      <c r="X91" s="236"/>
      <c r="Y91" s="236"/>
      <c r="Z91" s="236"/>
      <c r="AA91" s="236"/>
      <c r="AB91" s="236"/>
      <c r="AC91" s="236"/>
      <c r="AD91" s="236"/>
      <c r="AE91" s="236"/>
    </row>
    <row r="92" spans="1:31" x14ac:dyDescent="0.2">
      <c r="A92" s="227"/>
      <c r="B92" s="227"/>
      <c r="C92" s="228" t="s">
        <v>420</v>
      </c>
      <c r="D92" s="229" t="s">
        <v>421</v>
      </c>
      <c r="E92" s="230" t="s">
        <v>520</v>
      </c>
      <c r="F92" s="231">
        <v>9144.93</v>
      </c>
      <c r="G92" s="232">
        <f t="shared" si="34"/>
        <v>0.42763292027121813</v>
      </c>
      <c r="H92" s="233">
        <v>21385</v>
      </c>
      <c r="I92" s="234">
        <f t="shared" si="45"/>
        <v>25000</v>
      </c>
      <c r="J92" s="936">
        <f t="shared" si="36"/>
        <v>1.1690437222352117</v>
      </c>
      <c r="K92" s="241">
        <f t="shared" si="46"/>
        <v>25000</v>
      </c>
      <c r="L92" s="236">
        <f t="shared" si="47"/>
        <v>25000</v>
      </c>
      <c r="M92" s="236"/>
      <c r="N92" s="236"/>
      <c r="O92" s="236"/>
      <c r="P92" s="236">
        <v>25000</v>
      </c>
      <c r="Q92" s="236"/>
      <c r="R92" s="236"/>
      <c r="S92" s="236"/>
      <c r="T92" s="236">
        <f t="shared" si="48"/>
        <v>0</v>
      </c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</row>
    <row r="93" spans="1:31" x14ac:dyDescent="0.2">
      <c r="A93" s="227"/>
      <c r="B93" s="227"/>
      <c r="C93" s="228" t="s">
        <v>410</v>
      </c>
      <c r="D93" s="229" t="s">
        <v>411</v>
      </c>
      <c r="E93" s="230" t="s">
        <v>521</v>
      </c>
      <c r="F93" s="231">
        <v>68047.13</v>
      </c>
      <c r="G93" s="232">
        <f t="shared" si="34"/>
        <v>0.52383959439787475</v>
      </c>
      <c r="H93" s="233">
        <v>129900</v>
      </c>
      <c r="I93" s="234">
        <f t="shared" si="45"/>
        <v>145700</v>
      </c>
      <c r="J93" s="936">
        <f t="shared" si="36"/>
        <v>1.1216259804604594</v>
      </c>
      <c r="K93" s="241">
        <f t="shared" si="46"/>
        <v>145700</v>
      </c>
      <c r="L93" s="236">
        <f t="shared" si="47"/>
        <v>145700</v>
      </c>
      <c r="M93" s="236"/>
      <c r="N93" s="236">
        <v>28000</v>
      </c>
      <c r="O93" s="236">
        <v>117700</v>
      </c>
      <c r="P93" s="236"/>
      <c r="Q93" s="236"/>
      <c r="R93" s="236"/>
      <c r="S93" s="236"/>
      <c r="T93" s="236">
        <f t="shared" si="48"/>
        <v>0</v>
      </c>
      <c r="U93" s="236"/>
      <c r="V93" s="236"/>
      <c r="W93" s="236"/>
      <c r="X93" s="236"/>
      <c r="Y93" s="236"/>
      <c r="Z93" s="236"/>
      <c r="AA93" s="236"/>
      <c r="AB93" s="236"/>
      <c r="AC93" s="236"/>
      <c r="AD93" s="236"/>
      <c r="AE93" s="236"/>
    </row>
    <row r="94" spans="1:31" x14ac:dyDescent="0.2">
      <c r="A94" s="227"/>
      <c r="B94" s="227"/>
      <c r="C94" s="228" t="s">
        <v>424</v>
      </c>
      <c r="D94" s="229" t="s">
        <v>425</v>
      </c>
      <c r="E94" s="230" t="s">
        <v>522</v>
      </c>
      <c r="F94" s="231">
        <v>50634.61</v>
      </c>
      <c r="G94" s="232">
        <f t="shared" si="34"/>
        <v>0.65759233766233771</v>
      </c>
      <c r="H94" s="233">
        <v>77000</v>
      </c>
      <c r="I94" s="234">
        <f t="shared" si="45"/>
        <v>78000</v>
      </c>
      <c r="J94" s="936">
        <f t="shared" si="36"/>
        <v>1.0129870129870129</v>
      </c>
      <c r="K94" s="241">
        <f t="shared" si="46"/>
        <v>78000</v>
      </c>
      <c r="L94" s="236">
        <f t="shared" si="47"/>
        <v>78000</v>
      </c>
      <c r="M94" s="236"/>
      <c r="N94" s="236"/>
      <c r="O94" s="236">
        <v>78000</v>
      </c>
      <c r="P94" s="236"/>
      <c r="Q94" s="236"/>
      <c r="R94" s="236"/>
      <c r="S94" s="236"/>
      <c r="T94" s="236">
        <f t="shared" si="48"/>
        <v>0</v>
      </c>
      <c r="U94" s="236"/>
      <c r="V94" s="236"/>
      <c r="W94" s="236"/>
      <c r="X94" s="236"/>
      <c r="Y94" s="236"/>
      <c r="Z94" s="236"/>
      <c r="AA94" s="236"/>
      <c r="AB94" s="236"/>
      <c r="AC94" s="236"/>
      <c r="AD94" s="236"/>
      <c r="AE94" s="236"/>
    </row>
    <row r="95" spans="1:31" x14ac:dyDescent="0.2">
      <c r="A95" s="227"/>
      <c r="B95" s="227"/>
      <c r="C95" s="228" t="s">
        <v>438</v>
      </c>
      <c r="D95" s="229" t="s">
        <v>439</v>
      </c>
      <c r="E95" s="230" t="s">
        <v>523</v>
      </c>
      <c r="F95" s="231">
        <v>43632.69</v>
      </c>
      <c r="G95" s="232">
        <f t="shared" si="34"/>
        <v>0.68604858490566045</v>
      </c>
      <c r="H95" s="233">
        <v>60915.31</v>
      </c>
      <c r="I95" s="234">
        <f t="shared" si="45"/>
        <v>56500</v>
      </c>
      <c r="J95" s="936">
        <f t="shared" si="36"/>
        <v>0.88836477987421381</v>
      </c>
      <c r="K95" s="241">
        <f t="shared" si="46"/>
        <v>56500</v>
      </c>
      <c r="L95" s="236">
        <f t="shared" si="47"/>
        <v>56500</v>
      </c>
      <c r="M95" s="236"/>
      <c r="N95" s="236"/>
      <c r="O95" s="236">
        <v>56500</v>
      </c>
      <c r="P95" s="236"/>
      <c r="Q95" s="236"/>
      <c r="R95" s="236"/>
      <c r="S95" s="236"/>
      <c r="T95" s="236">
        <f t="shared" si="48"/>
        <v>0</v>
      </c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</row>
    <row r="96" spans="1:31" x14ac:dyDescent="0.2">
      <c r="A96" s="227"/>
      <c r="B96" s="227"/>
      <c r="C96" s="228" t="s">
        <v>524</v>
      </c>
      <c r="D96" s="229" t="s">
        <v>525</v>
      </c>
      <c r="E96" s="230" t="s">
        <v>526</v>
      </c>
      <c r="F96" s="231">
        <v>5812</v>
      </c>
      <c r="G96" s="232">
        <f t="shared" si="34"/>
        <v>0.47252032520325205</v>
      </c>
      <c r="H96" s="233">
        <v>12300</v>
      </c>
      <c r="I96" s="234">
        <f t="shared" si="45"/>
        <v>2000</v>
      </c>
      <c r="J96" s="936">
        <f t="shared" si="36"/>
        <v>0.16260162601626016</v>
      </c>
      <c r="K96" s="241">
        <f t="shared" si="46"/>
        <v>2000</v>
      </c>
      <c r="L96" s="236">
        <f t="shared" si="47"/>
        <v>2000</v>
      </c>
      <c r="M96" s="236"/>
      <c r="N96" s="236"/>
      <c r="O96" s="236">
        <v>2000</v>
      </c>
      <c r="P96" s="236"/>
      <c r="Q96" s="236"/>
      <c r="R96" s="236"/>
      <c r="S96" s="236"/>
      <c r="T96" s="236">
        <f t="shared" si="48"/>
        <v>0</v>
      </c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</row>
    <row r="97" spans="1:31" x14ac:dyDescent="0.2">
      <c r="A97" s="227"/>
      <c r="B97" s="227"/>
      <c r="C97" s="228" t="s">
        <v>413</v>
      </c>
      <c r="D97" s="229" t="s">
        <v>414</v>
      </c>
      <c r="E97" s="230" t="s">
        <v>527</v>
      </c>
      <c r="F97" s="231">
        <v>229395.22</v>
      </c>
      <c r="G97" s="232">
        <f t="shared" si="34"/>
        <v>0.73662225647447943</v>
      </c>
      <c r="H97" s="233">
        <v>311415</v>
      </c>
      <c r="I97" s="234">
        <f t="shared" si="45"/>
        <v>333500</v>
      </c>
      <c r="J97" s="936">
        <f t="shared" si="36"/>
        <v>1.0709182280879213</v>
      </c>
      <c r="K97" s="241">
        <f t="shared" si="46"/>
        <v>333500</v>
      </c>
      <c r="L97" s="236">
        <f t="shared" si="47"/>
        <v>333500</v>
      </c>
      <c r="M97" s="236"/>
      <c r="N97" s="236"/>
      <c r="O97" s="236">
        <v>333500</v>
      </c>
      <c r="P97" s="236"/>
      <c r="Q97" s="236"/>
      <c r="R97" s="236"/>
      <c r="S97" s="236"/>
      <c r="T97" s="236">
        <f t="shared" si="48"/>
        <v>0</v>
      </c>
      <c r="U97" s="236"/>
      <c r="V97" s="236"/>
      <c r="W97" s="236"/>
      <c r="X97" s="236"/>
      <c r="Y97" s="236"/>
      <c r="Z97" s="236"/>
      <c r="AA97" s="236"/>
      <c r="AB97" s="236"/>
      <c r="AC97" s="236"/>
      <c r="AD97" s="236"/>
      <c r="AE97" s="236"/>
    </row>
    <row r="98" spans="1:31" x14ac:dyDescent="0.2">
      <c r="A98" s="227"/>
      <c r="B98" s="227"/>
      <c r="C98" s="228" t="s">
        <v>451</v>
      </c>
      <c r="D98" s="229" t="s">
        <v>452</v>
      </c>
      <c r="E98" s="230" t="s">
        <v>307</v>
      </c>
      <c r="F98" s="231">
        <v>25025.89</v>
      </c>
      <c r="G98" s="232">
        <f t="shared" si="34"/>
        <v>0.71502542857142859</v>
      </c>
      <c r="H98" s="233">
        <v>35000</v>
      </c>
      <c r="I98" s="234">
        <f t="shared" si="45"/>
        <v>36500</v>
      </c>
      <c r="J98" s="936">
        <f t="shared" si="36"/>
        <v>1.0428571428571429</v>
      </c>
      <c r="K98" s="241">
        <f t="shared" si="46"/>
        <v>36500</v>
      </c>
      <c r="L98" s="236">
        <f t="shared" si="47"/>
        <v>36500</v>
      </c>
      <c r="M98" s="236"/>
      <c r="N98" s="236"/>
      <c r="O98" s="236">
        <v>36500</v>
      </c>
      <c r="P98" s="236"/>
      <c r="Q98" s="236"/>
      <c r="R98" s="236"/>
      <c r="S98" s="236"/>
      <c r="T98" s="236">
        <f t="shared" si="48"/>
        <v>0</v>
      </c>
      <c r="U98" s="236"/>
      <c r="V98" s="236"/>
      <c r="W98" s="236"/>
      <c r="X98" s="236"/>
      <c r="Y98" s="236"/>
      <c r="Z98" s="236"/>
      <c r="AA98" s="236"/>
      <c r="AB98" s="236"/>
      <c r="AC98" s="236"/>
      <c r="AD98" s="236"/>
      <c r="AE98" s="236"/>
    </row>
    <row r="99" spans="1:31" x14ac:dyDescent="0.2">
      <c r="A99" s="227"/>
      <c r="B99" s="227"/>
      <c r="C99" s="228" t="s">
        <v>528</v>
      </c>
      <c r="D99" s="229" t="s">
        <v>529</v>
      </c>
      <c r="E99" s="230" t="s">
        <v>113</v>
      </c>
      <c r="F99" s="231">
        <v>0</v>
      </c>
      <c r="G99" s="232">
        <f t="shared" si="34"/>
        <v>0</v>
      </c>
      <c r="H99" s="233">
        <v>0</v>
      </c>
      <c r="I99" s="234">
        <f t="shared" si="45"/>
        <v>1000</v>
      </c>
      <c r="J99" s="936">
        <f t="shared" si="36"/>
        <v>1</v>
      </c>
      <c r="K99" s="241">
        <f t="shared" si="46"/>
        <v>1000</v>
      </c>
      <c r="L99" s="236">
        <f t="shared" si="47"/>
        <v>1000</v>
      </c>
      <c r="M99" s="236"/>
      <c r="N99" s="236"/>
      <c r="O99" s="236">
        <v>1000</v>
      </c>
      <c r="P99" s="236"/>
      <c r="Q99" s="236"/>
      <c r="R99" s="236"/>
      <c r="S99" s="236"/>
      <c r="T99" s="236">
        <f t="shared" si="48"/>
        <v>0</v>
      </c>
      <c r="U99" s="236"/>
      <c r="V99" s="236"/>
      <c r="W99" s="236"/>
      <c r="X99" s="236"/>
      <c r="Y99" s="236"/>
      <c r="Z99" s="236"/>
      <c r="AA99" s="236"/>
      <c r="AB99" s="236"/>
      <c r="AC99" s="236"/>
      <c r="AD99" s="236"/>
      <c r="AE99" s="236"/>
    </row>
    <row r="100" spans="1:31" ht="22.5" x14ac:dyDescent="0.2">
      <c r="A100" s="227"/>
      <c r="B100" s="227"/>
      <c r="C100" s="228" t="s">
        <v>530</v>
      </c>
      <c r="D100" s="229" t="s">
        <v>531</v>
      </c>
      <c r="E100" s="230" t="s">
        <v>532</v>
      </c>
      <c r="F100" s="231">
        <v>34236.9</v>
      </c>
      <c r="G100" s="232">
        <f t="shared" si="34"/>
        <v>0.52672153846153846</v>
      </c>
      <c r="H100" s="233">
        <v>65000</v>
      </c>
      <c r="I100" s="234">
        <f t="shared" si="45"/>
        <v>70000</v>
      </c>
      <c r="J100" s="936">
        <f t="shared" si="36"/>
        <v>1.0769230769230769</v>
      </c>
      <c r="K100" s="241">
        <f t="shared" si="46"/>
        <v>70000</v>
      </c>
      <c r="L100" s="236">
        <f t="shared" si="47"/>
        <v>70000</v>
      </c>
      <c r="M100" s="236"/>
      <c r="N100" s="236"/>
      <c r="O100" s="236">
        <v>70000</v>
      </c>
      <c r="P100" s="236"/>
      <c r="Q100" s="236"/>
      <c r="R100" s="236"/>
      <c r="S100" s="236"/>
      <c r="T100" s="236">
        <f t="shared" si="48"/>
        <v>0</v>
      </c>
      <c r="U100" s="236"/>
      <c r="V100" s="236"/>
      <c r="W100" s="236"/>
      <c r="X100" s="236"/>
      <c r="Y100" s="236"/>
      <c r="Z100" s="236"/>
      <c r="AA100" s="236"/>
      <c r="AB100" s="236"/>
      <c r="AC100" s="236"/>
      <c r="AD100" s="236"/>
      <c r="AE100" s="236"/>
    </row>
    <row r="101" spans="1:31" x14ac:dyDescent="0.2">
      <c r="A101" s="227"/>
      <c r="B101" s="227"/>
      <c r="C101" s="228" t="s">
        <v>533</v>
      </c>
      <c r="D101" s="229" t="s">
        <v>534</v>
      </c>
      <c r="E101" s="230" t="s">
        <v>535</v>
      </c>
      <c r="F101" s="231">
        <v>25740.32</v>
      </c>
      <c r="G101" s="232">
        <f t="shared" si="34"/>
        <v>0.67737684210526317</v>
      </c>
      <c r="H101" s="233">
        <v>37115.230000000003</v>
      </c>
      <c r="I101" s="234">
        <f t="shared" si="45"/>
        <v>38000</v>
      </c>
      <c r="J101" s="936">
        <f t="shared" si="36"/>
        <v>1</v>
      </c>
      <c r="K101" s="241">
        <f t="shared" si="46"/>
        <v>38000</v>
      </c>
      <c r="L101" s="236">
        <f t="shared" si="47"/>
        <v>38000</v>
      </c>
      <c r="M101" s="236"/>
      <c r="N101" s="236"/>
      <c r="O101" s="236">
        <v>38000</v>
      </c>
      <c r="P101" s="236"/>
      <c r="Q101" s="236"/>
      <c r="R101" s="236"/>
      <c r="S101" s="236"/>
      <c r="T101" s="236">
        <f t="shared" si="48"/>
        <v>0</v>
      </c>
      <c r="U101" s="236"/>
      <c r="V101" s="236"/>
      <c r="W101" s="236"/>
      <c r="X101" s="236"/>
      <c r="Y101" s="236"/>
      <c r="Z101" s="236"/>
      <c r="AA101" s="236"/>
      <c r="AB101" s="236"/>
      <c r="AC101" s="236"/>
      <c r="AD101" s="236"/>
      <c r="AE101" s="236"/>
    </row>
    <row r="102" spans="1:31" x14ac:dyDescent="0.2">
      <c r="A102" s="227"/>
      <c r="B102" s="227"/>
      <c r="C102" s="228" t="s">
        <v>510</v>
      </c>
      <c r="D102" s="229" t="s">
        <v>511</v>
      </c>
      <c r="E102" s="230" t="s">
        <v>39</v>
      </c>
      <c r="F102" s="231">
        <v>0</v>
      </c>
      <c r="G102" s="232">
        <v>0</v>
      </c>
      <c r="H102" s="233">
        <v>0</v>
      </c>
      <c r="I102" s="234">
        <f t="shared" si="45"/>
        <v>4000</v>
      </c>
      <c r="J102" s="936">
        <v>0</v>
      </c>
      <c r="K102" s="241">
        <f t="shared" si="46"/>
        <v>4000</v>
      </c>
      <c r="L102" s="236">
        <f t="shared" si="47"/>
        <v>4000</v>
      </c>
      <c r="M102" s="236"/>
      <c r="N102" s="236"/>
      <c r="O102" s="236">
        <v>4000</v>
      </c>
      <c r="P102" s="236"/>
      <c r="Q102" s="236"/>
      <c r="R102" s="236"/>
      <c r="S102" s="236"/>
      <c r="T102" s="236">
        <f t="shared" si="48"/>
        <v>0</v>
      </c>
      <c r="U102" s="236"/>
      <c r="V102" s="236"/>
      <c r="W102" s="236"/>
      <c r="X102" s="236"/>
      <c r="Y102" s="236"/>
      <c r="Z102" s="236"/>
      <c r="AA102" s="236"/>
      <c r="AB102" s="236"/>
      <c r="AC102" s="236"/>
      <c r="AD102" s="236"/>
      <c r="AE102" s="236"/>
    </row>
    <row r="103" spans="1:31" x14ac:dyDescent="0.2">
      <c r="A103" s="227"/>
      <c r="B103" s="227"/>
      <c r="C103" s="228" t="s">
        <v>416</v>
      </c>
      <c r="D103" s="229" t="s">
        <v>417</v>
      </c>
      <c r="E103" s="230" t="s">
        <v>536</v>
      </c>
      <c r="F103" s="231">
        <v>26405.5</v>
      </c>
      <c r="G103" s="232">
        <f t="shared" si="34"/>
        <v>0.94305357142857138</v>
      </c>
      <c r="H103" s="233">
        <v>28000</v>
      </c>
      <c r="I103" s="234">
        <f t="shared" si="45"/>
        <v>28000</v>
      </c>
      <c r="J103" s="936">
        <f t="shared" si="36"/>
        <v>1</v>
      </c>
      <c r="K103" s="241">
        <f t="shared" si="46"/>
        <v>28000</v>
      </c>
      <c r="L103" s="236">
        <f t="shared" si="47"/>
        <v>28000</v>
      </c>
      <c r="M103" s="236"/>
      <c r="N103" s="236"/>
      <c r="O103" s="236">
        <v>28000</v>
      </c>
      <c r="P103" s="236"/>
      <c r="Q103" s="236"/>
      <c r="R103" s="236"/>
      <c r="S103" s="236"/>
      <c r="T103" s="236">
        <f t="shared" si="48"/>
        <v>0</v>
      </c>
      <c r="U103" s="236"/>
      <c r="V103" s="236"/>
      <c r="W103" s="236"/>
      <c r="X103" s="236"/>
      <c r="Y103" s="236"/>
      <c r="Z103" s="236"/>
      <c r="AA103" s="236"/>
      <c r="AB103" s="236"/>
      <c r="AC103" s="236"/>
      <c r="AD103" s="236"/>
      <c r="AE103" s="236"/>
    </row>
    <row r="104" spans="1:31" x14ac:dyDescent="0.2">
      <c r="A104" s="227"/>
      <c r="B104" s="227"/>
      <c r="C104" s="228" t="s">
        <v>537</v>
      </c>
      <c r="D104" s="229" t="s">
        <v>538</v>
      </c>
      <c r="E104" s="230" t="s">
        <v>539</v>
      </c>
      <c r="F104" s="231">
        <v>75542</v>
      </c>
      <c r="G104" s="232">
        <f t="shared" si="34"/>
        <v>1</v>
      </c>
      <c r="H104" s="233">
        <v>75542</v>
      </c>
      <c r="I104" s="234">
        <f t="shared" si="45"/>
        <v>71101</v>
      </c>
      <c r="J104" s="936">
        <f t="shared" si="36"/>
        <v>0.94121151147705917</v>
      </c>
      <c r="K104" s="241">
        <f t="shared" si="46"/>
        <v>71101</v>
      </c>
      <c r="L104" s="236">
        <f t="shared" si="47"/>
        <v>71101</v>
      </c>
      <c r="M104" s="236"/>
      <c r="N104" s="236"/>
      <c r="O104" s="236"/>
      <c r="P104" s="236">
        <f>75547-4446</f>
        <v>71101</v>
      </c>
      <c r="Q104" s="236"/>
      <c r="R104" s="236"/>
      <c r="S104" s="236"/>
      <c r="T104" s="236">
        <f t="shared" si="48"/>
        <v>0</v>
      </c>
      <c r="U104" s="236"/>
      <c r="V104" s="236"/>
      <c r="W104" s="236"/>
      <c r="X104" s="236"/>
      <c r="Y104" s="236"/>
      <c r="Z104" s="236"/>
      <c r="AA104" s="236"/>
      <c r="AB104" s="236"/>
      <c r="AC104" s="236"/>
      <c r="AD104" s="236"/>
      <c r="AE104" s="236"/>
    </row>
    <row r="105" spans="1:31" x14ac:dyDescent="0.2">
      <c r="A105" s="227"/>
      <c r="B105" s="227"/>
      <c r="C105" s="228" t="s">
        <v>479</v>
      </c>
      <c r="D105" s="229" t="s">
        <v>480</v>
      </c>
      <c r="E105" s="230" t="s">
        <v>44</v>
      </c>
      <c r="F105" s="231">
        <v>39484.93</v>
      </c>
      <c r="G105" s="232">
        <f t="shared" si="34"/>
        <v>0.78969860000000003</v>
      </c>
      <c r="H105" s="233">
        <v>50000</v>
      </c>
      <c r="I105" s="234">
        <f t="shared" si="45"/>
        <v>50000</v>
      </c>
      <c r="J105" s="936">
        <f t="shared" si="36"/>
        <v>1</v>
      </c>
      <c r="K105" s="241">
        <f t="shared" si="46"/>
        <v>50000</v>
      </c>
      <c r="L105" s="236">
        <f t="shared" si="47"/>
        <v>50000</v>
      </c>
      <c r="M105" s="236"/>
      <c r="N105" s="236"/>
      <c r="O105" s="236"/>
      <c r="P105" s="236">
        <v>50000</v>
      </c>
      <c r="Q105" s="236"/>
      <c r="R105" s="236"/>
      <c r="S105" s="236"/>
      <c r="T105" s="236">
        <f t="shared" si="48"/>
        <v>0</v>
      </c>
      <c r="U105" s="236"/>
      <c r="V105" s="236"/>
      <c r="W105" s="236"/>
      <c r="X105" s="236"/>
      <c r="Y105" s="236"/>
      <c r="Z105" s="236"/>
      <c r="AA105" s="236"/>
      <c r="AB105" s="236"/>
      <c r="AC105" s="236"/>
      <c r="AD105" s="236"/>
      <c r="AE105" s="236"/>
    </row>
    <row r="106" spans="1:31" ht="22.5" x14ac:dyDescent="0.2">
      <c r="A106" s="227"/>
      <c r="B106" s="227"/>
      <c r="C106" s="228" t="s">
        <v>540</v>
      </c>
      <c r="D106" s="229" t="s">
        <v>541</v>
      </c>
      <c r="E106" s="230" t="s">
        <v>61</v>
      </c>
      <c r="F106" s="231">
        <v>18619.36</v>
      </c>
      <c r="G106" s="232">
        <f t="shared" si="34"/>
        <v>0.74477440000000006</v>
      </c>
      <c r="H106" s="233">
        <v>25000</v>
      </c>
      <c r="I106" s="234">
        <f t="shared" si="45"/>
        <v>38000</v>
      </c>
      <c r="J106" s="936">
        <f t="shared" si="36"/>
        <v>1.52</v>
      </c>
      <c r="K106" s="241">
        <f t="shared" si="46"/>
        <v>38000</v>
      </c>
      <c r="L106" s="236">
        <f t="shared" si="47"/>
        <v>38000</v>
      </c>
      <c r="M106" s="236"/>
      <c r="N106" s="236">
        <v>8000</v>
      </c>
      <c r="O106" s="236">
        <v>30000</v>
      </c>
      <c r="P106" s="236"/>
      <c r="Q106" s="236"/>
      <c r="R106" s="236"/>
      <c r="S106" s="236"/>
      <c r="T106" s="236">
        <f t="shared" si="48"/>
        <v>0</v>
      </c>
      <c r="U106" s="236"/>
      <c r="V106" s="236"/>
      <c r="W106" s="236"/>
      <c r="X106" s="236"/>
      <c r="Y106" s="236"/>
      <c r="Z106" s="236"/>
      <c r="AA106" s="236"/>
      <c r="AB106" s="236"/>
      <c r="AC106" s="236"/>
      <c r="AD106" s="236"/>
      <c r="AE106" s="236"/>
    </row>
    <row r="107" spans="1:31" x14ac:dyDescent="0.2">
      <c r="A107" s="227"/>
      <c r="B107" s="227"/>
      <c r="C107" s="228" t="s">
        <v>443</v>
      </c>
      <c r="D107" s="229" t="s">
        <v>444</v>
      </c>
      <c r="E107" s="230" t="s">
        <v>542</v>
      </c>
      <c r="F107" s="231">
        <v>0</v>
      </c>
      <c r="G107" s="232">
        <f t="shared" si="34"/>
        <v>0</v>
      </c>
      <c r="H107" s="233">
        <v>70000</v>
      </c>
      <c r="I107" s="234">
        <f t="shared" si="45"/>
        <v>0</v>
      </c>
      <c r="J107" s="936">
        <f t="shared" si="36"/>
        <v>0</v>
      </c>
      <c r="K107" s="241">
        <f t="shared" si="46"/>
        <v>0</v>
      </c>
      <c r="L107" s="236">
        <f t="shared" si="47"/>
        <v>0</v>
      </c>
      <c r="M107" s="236"/>
      <c r="N107" s="236"/>
      <c r="O107" s="236"/>
      <c r="P107" s="236"/>
      <c r="Q107" s="236"/>
      <c r="R107" s="236"/>
      <c r="S107" s="236"/>
      <c r="T107" s="236">
        <f t="shared" si="48"/>
        <v>0</v>
      </c>
      <c r="U107" s="236"/>
      <c r="V107" s="236"/>
      <c r="W107" s="236"/>
      <c r="X107" s="236"/>
      <c r="Y107" s="236"/>
      <c r="Z107" s="236"/>
      <c r="AA107" s="236"/>
      <c r="AB107" s="236"/>
      <c r="AC107" s="236"/>
      <c r="AD107" s="236"/>
      <c r="AE107" s="236"/>
    </row>
    <row r="108" spans="1:31" x14ac:dyDescent="0.2">
      <c r="A108" s="227"/>
      <c r="B108" s="227"/>
      <c r="C108" s="228" t="s">
        <v>454</v>
      </c>
      <c r="D108" s="229" t="s">
        <v>455</v>
      </c>
      <c r="E108" s="230" t="s">
        <v>39</v>
      </c>
      <c r="F108" s="231">
        <v>0</v>
      </c>
      <c r="G108" s="232">
        <v>0</v>
      </c>
      <c r="H108" s="233">
        <v>0</v>
      </c>
      <c r="I108" s="234">
        <f t="shared" si="45"/>
        <v>20000</v>
      </c>
      <c r="J108" s="936">
        <v>0</v>
      </c>
      <c r="K108" s="241">
        <f t="shared" si="46"/>
        <v>20000</v>
      </c>
      <c r="L108" s="236">
        <f t="shared" si="47"/>
        <v>20000</v>
      </c>
      <c r="M108" s="236"/>
      <c r="N108" s="236"/>
      <c r="O108" s="236">
        <v>20000</v>
      </c>
      <c r="P108" s="236"/>
      <c r="Q108" s="236"/>
      <c r="R108" s="236"/>
      <c r="S108" s="236"/>
      <c r="T108" s="236">
        <f t="shared" si="48"/>
        <v>0</v>
      </c>
      <c r="U108" s="236"/>
      <c r="V108" s="236"/>
      <c r="W108" s="236"/>
      <c r="X108" s="236"/>
      <c r="Y108" s="236"/>
      <c r="Z108" s="236"/>
      <c r="AA108" s="236"/>
      <c r="AB108" s="236"/>
      <c r="AC108" s="236"/>
      <c r="AD108" s="236"/>
      <c r="AE108" s="236"/>
    </row>
    <row r="109" spans="1:31" ht="45" x14ac:dyDescent="0.2">
      <c r="A109" s="219"/>
      <c r="B109" s="220" t="s">
        <v>543</v>
      </c>
      <c r="C109" s="221"/>
      <c r="D109" s="222" t="s">
        <v>544</v>
      </c>
      <c r="E109" s="223">
        <f>E110+E111</f>
        <v>21384.43</v>
      </c>
      <c r="F109" s="223">
        <f t="shared" ref="F109:AE109" si="49">F110+F111</f>
        <v>8805</v>
      </c>
      <c r="G109" s="238">
        <f t="shared" si="34"/>
        <v>0.41174817378812528</v>
      </c>
      <c r="H109" s="223">
        <f t="shared" si="49"/>
        <v>21384</v>
      </c>
      <c r="I109" s="225">
        <f t="shared" si="49"/>
        <v>0</v>
      </c>
      <c r="J109" s="937">
        <f t="shared" si="36"/>
        <v>0</v>
      </c>
      <c r="K109" s="925">
        <f t="shared" si="49"/>
        <v>0</v>
      </c>
      <c r="L109" s="223">
        <f t="shared" si="49"/>
        <v>0</v>
      </c>
      <c r="M109" s="223">
        <f t="shared" si="49"/>
        <v>0</v>
      </c>
      <c r="N109" s="223">
        <f t="shared" si="49"/>
        <v>0</v>
      </c>
      <c r="O109" s="223">
        <f t="shared" si="49"/>
        <v>0</v>
      </c>
      <c r="P109" s="223">
        <f t="shared" si="49"/>
        <v>0</v>
      </c>
      <c r="Q109" s="223">
        <f t="shared" si="49"/>
        <v>0</v>
      </c>
      <c r="R109" s="226">
        <f>R110+R111</f>
        <v>0</v>
      </c>
      <c r="S109" s="223">
        <f t="shared" si="49"/>
        <v>0</v>
      </c>
      <c r="T109" s="223">
        <f t="shared" si="49"/>
        <v>0</v>
      </c>
      <c r="U109" s="223">
        <f t="shared" si="49"/>
        <v>0</v>
      </c>
      <c r="V109" s="223">
        <f t="shared" si="49"/>
        <v>0</v>
      </c>
      <c r="W109" s="223">
        <f t="shared" si="49"/>
        <v>0</v>
      </c>
      <c r="X109" s="223">
        <f t="shared" si="49"/>
        <v>0</v>
      </c>
      <c r="Y109" s="223">
        <f t="shared" si="49"/>
        <v>0</v>
      </c>
      <c r="Z109" s="223">
        <f t="shared" si="49"/>
        <v>0</v>
      </c>
      <c r="AA109" s="223">
        <f t="shared" si="49"/>
        <v>0</v>
      </c>
      <c r="AB109" s="223">
        <f t="shared" si="49"/>
        <v>0</v>
      </c>
      <c r="AC109" s="223">
        <f t="shared" si="49"/>
        <v>0</v>
      </c>
      <c r="AD109" s="223">
        <f t="shared" si="49"/>
        <v>0</v>
      </c>
      <c r="AE109" s="223">
        <f t="shared" si="49"/>
        <v>0</v>
      </c>
    </row>
    <row r="110" spans="1:31" x14ac:dyDescent="0.2">
      <c r="A110" s="227"/>
      <c r="B110" s="227"/>
      <c r="C110" s="228" t="s">
        <v>410</v>
      </c>
      <c r="D110" s="229" t="s">
        <v>411</v>
      </c>
      <c r="E110" s="230" t="s">
        <v>113</v>
      </c>
      <c r="F110" s="231">
        <v>0</v>
      </c>
      <c r="G110" s="232">
        <f t="shared" si="34"/>
        <v>0</v>
      </c>
      <c r="H110" s="233">
        <v>1000</v>
      </c>
      <c r="I110" s="234">
        <v>0</v>
      </c>
      <c r="J110" s="936">
        <f t="shared" si="36"/>
        <v>0</v>
      </c>
      <c r="K110" s="241">
        <f>L110+S110+T110</f>
        <v>0</v>
      </c>
      <c r="L110" s="236">
        <f>SUM(M110:R110)</f>
        <v>0</v>
      </c>
      <c r="M110" s="236"/>
      <c r="N110" s="236"/>
      <c r="O110" s="236"/>
      <c r="P110" s="236"/>
      <c r="Q110" s="236"/>
      <c r="R110" s="236"/>
      <c r="S110" s="236"/>
      <c r="T110" s="236">
        <f>SUM(U110:AD110)</f>
        <v>0</v>
      </c>
      <c r="U110" s="236"/>
      <c r="V110" s="236"/>
      <c r="W110" s="236"/>
      <c r="X110" s="236"/>
      <c r="Y110" s="236"/>
      <c r="Z110" s="236"/>
      <c r="AA110" s="236"/>
      <c r="AB110" s="236"/>
      <c r="AC110" s="236"/>
      <c r="AD110" s="236"/>
      <c r="AE110" s="236"/>
    </row>
    <row r="111" spans="1:31" x14ac:dyDescent="0.2">
      <c r="A111" s="227"/>
      <c r="B111" s="227"/>
      <c r="C111" s="228" t="s">
        <v>438</v>
      </c>
      <c r="D111" s="229" t="s">
        <v>439</v>
      </c>
      <c r="E111" s="230" t="s">
        <v>545</v>
      </c>
      <c r="F111" s="231">
        <v>8805</v>
      </c>
      <c r="G111" s="232">
        <f t="shared" si="34"/>
        <v>0.43194732450208317</v>
      </c>
      <c r="H111" s="233">
        <v>20384</v>
      </c>
      <c r="I111" s="234">
        <v>0</v>
      </c>
      <c r="J111" s="936">
        <f t="shared" si="36"/>
        <v>0</v>
      </c>
      <c r="K111" s="241">
        <f>L111+S111+T111</f>
        <v>0</v>
      </c>
      <c r="L111" s="236">
        <f>SUM(M111:R111)</f>
        <v>0</v>
      </c>
      <c r="M111" s="236"/>
      <c r="N111" s="236"/>
      <c r="O111" s="236"/>
      <c r="P111" s="236"/>
      <c r="Q111" s="236"/>
      <c r="R111" s="236"/>
      <c r="S111" s="236"/>
      <c r="T111" s="236">
        <f>SUM(U111:AD111)</f>
        <v>0</v>
      </c>
      <c r="U111" s="236"/>
      <c r="V111" s="236"/>
      <c r="W111" s="236"/>
      <c r="X111" s="236"/>
      <c r="Y111" s="236"/>
      <c r="Z111" s="236"/>
      <c r="AA111" s="236"/>
      <c r="AB111" s="236"/>
      <c r="AC111" s="236"/>
      <c r="AD111" s="236"/>
      <c r="AE111" s="236"/>
    </row>
    <row r="112" spans="1:31" ht="15" x14ac:dyDescent="0.2">
      <c r="A112" s="219"/>
      <c r="B112" s="220" t="s">
        <v>117</v>
      </c>
      <c r="C112" s="221"/>
      <c r="D112" s="222" t="s">
        <v>546</v>
      </c>
      <c r="E112" s="223">
        <f>E113+E114+E115+E116+E117</f>
        <v>177036</v>
      </c>
      <c r="F112" s="223">
        <f t="shared" ref="F112:AE112" si="50">F113+F114+F115+F116+F117</f>
        <v>85912.989999999991</v>
      </c>
      <c r="G112" s="238">
        <f t="shared" si="34"/>
        <v>0.48528542217402104</v>
      </c>
      <c r="H112" s="223">
        <f t="shared" si="50"/>
        <v>177027.9</v>
      </c>
      <c r="I112" s="225">
        <f t="shared" si="50"/>
        <v>140500</v>
      </c>
      <c r="J112" s="937">
        <f t="shared" si="36"/>
        <v>0.79362389570482839</v>
      </c>
      <c r="K112" s="925">
        <f t="shared" si="50"/>
        <v>140500</v>
      </c>
      <c r="L112" s="223">
        <f t="shared" si="50"/>
        <v>140500</v>
      </c>
      <c r="M112" s="223">
        <f t="shared" si="50"/>
        <v>0</v>
      </c>
      <c r="N112" s="223">
        <f t="shared" si="50"/>
        <v>140500</v>
      </c>
      <c r="O112" s="223">
        <f t="shared" si="50"/>
        <v>0</v>
      </c>
      <c r="P112" s="223">
        <f t="shared" si="50"/>
        <v>0</v>
      </c>
      <c r="Q112" s="223">
        <f t="shared" si="50"/>
        <v>0</v>
      </c>
      <c r="R112" s="226">
        <f>R113+R114+R115+R116+R117</f>
        <v>0</v>
      </c>
      <c r="S112" s="223">
        <f t="shared" si="50"/>
        <v>0</v>
      </c>
      <c r="T112" s="223">
        <f t="shared" si="50"/>
        <v>0</v>
      </c>
      <c r="U112" s="223">
        <f t="shared" si="50"/>
        <v>0</v>
      </c>
      <c r="V112" s="223">
        <f t="shared" si="50"/>
        <v>0</v>
      </c>
      <c r="W112" s="223">
        <f t="shared" si="50"/>
        <v>0</v>
      </c>
      <c r="X112" s="223">
        <f t="shared" si="50"/>
        <v>0</v>
      </c>
      <c r="Y112" s="223">
        <f t="shared" si="50"/>
        <v>0</v>
      </c>
      <c r="Z112" s="223">
        <f t="shared" si="50"/>
        <v>0</v>
      </c>
      <c r="AA112" s="223">
        <f t="shared" si="50"/>
        <v>0</v>
      </c>
      <c r="AB112" s="223">
        <f t="shared" si="50"/>
        <v>0</v>
      </c>
      <c r="AC112" s="223">
        <f t="shared" si="50"/>
        <v>0</v>
      </c>
      <c r="AD112" s="223">
        <f t="shared" si="50"/>
        <v>0</v>
      </c>
      <c r="AE112" s="223">
        <f t="shared" si="50"/>
        <v>0</v>
      </c>
    </row>
    <row r="113" spans="1:31" x14ac:dyDescent="0.2">
      <c r="A113" s="227"/>
      <c r="B113" s="227"/>
      <c r="C113" s="228" t="s">
        <v>404</v>
      </c>
      <c r="D113" s="229" t="s">
        <v>405</v>
      </c>
      <c r="E113" s="230" t="s">
        <v>547</v>
      </c>
      <c r="F113" s="231">
        <v>1480.59</v>
      </c>
      <c r="G113" s="232">
        <f t="shared" si="34"/>
        <v>0.99502016129032256</v>
      </c>
      <c r="H113" s="233">
        <v>1480.59</v>
      </c>
      <c r="I113" s="234">
        <f>K113</f>
        <v>0</v>
      </c>
      <c r="J113" s="936">
        <f t="shared" si="36"/>
        <v>0</v>
      </c>
      <c r="K113" s="241">
        <f>L113+S113+T113</f>
        <v>0</v>
      </c>
      <c r="L113" s="236">
        <f>SUM(M113:R113)</f>
        <v>0</v>
      </c>
      <c r="M113" s="236"/>
      <c r="N113" s="236">
        <v>0</v>
      </c>
      <c r="O113" s="236"/>
      <c r="P113" s="236"/>
      <c r="Q113" s="236"/>
      <c r="R113" s="236"/>
      <c r="S113" s="236"/>
      <c r="T113" s="236">
        <f>SUM(U113:AD113)</f>
        <v>0</v>
      </c>
      <c r="U113" s="236"/>
      <c r="V113" s="236"/>
      <c r="W113" s="236"/>
      <c r="X113" s="236"/>
      <c r="Y113" s="236"/>
      <c r="Z113" s="236"/>
      <c r="AA113" s="236"/>
      <c r="AB113" s="236"/>
      <c r="AC113" s="236"/>
      <c r="AD113" s="236"/>
      <c r="AE113" s="236"/>
    </row>
    <row r="114" spans="1:31" x14ac:dyDescent="0.2">
      <c r="A114" s="227"/>
      <c r="B114" s="227"/>
      <c r="C114" s="228" t="s">
        <v>420</v>
      </c>
      <c r="D114" s="229" t="s">
        <v>421</v>
      </c>
      <c r="E114" s="230" t="s">
        <v>548</v>
      </c>
      <c r="F114" s="231">
        <v>9548.2199999999993</v>
      </c>
      <c r="G114" s="232">
        <f t="shared" si="34"/>
        <v>0.59114784546805343</v>
      </c>
      <c r="H114" s="233">
        <v>16152</v>
      </c>
      <c r="I114" s="234">
        <f t="shared" ref="I114:I117" si="51">K114</f>
        <v>4500</v>
      </c>
      <c r="J114" s="936">
        <f t="shared" si="36"/>
        <v>0.2786032689450223</v>
      </c>
      <c r="K114" s="241">
        <f t="shared" ref="K114:K117" si="52">L114+S114+T114</f>
        <v>4500</v>
      </c>
      <c r="L114" s="236">
        <f>SUM(M114:R114)</f>
        <v>4500</v>
      </c>
      <c r="M114" s="236"/>
      <c r="N114" s="236">
        <v>4500</v>
      </c>
      <c r="O114" s="236"/>
      <c r="P114" s="236"/>
      <c r="Q114" s="236"/>
      <c r="R114" s="236"/>
      <c r="S114" s="236"/>
      <c r="T114" s="236">
        <f>SUM(U114:AD114)</f>
        <v>0</v>
      </c>
      <c r="U114" s="236"/>
      <c r="V114" s="236"/>
      <c r="W114" s="236"/>
      <c r="X114" s="236"/>
      <c r="Y114" s="236"/>
      <c r="Z114" s="236"/>
      <c r="AA114" s="236"/>
      <c r="AB114" s="236"/>
      <c r="AC114" s="236"/>
      <c r="AD114" s="236"/>
      <c r="AE114" s="236"/>
    </row>
    <row r="115" spans="1:31" x14ac:dyDescent="0.2">
      <c r="A115" s="227"/>
      <c r="B115" s="227"/>
      <c r="C115" s="228" t="s">
        <v>410</v>
      </c>
      <c r="D115" s="229" t="s">
        <v>411</v>
      </c>
      <c r="E115" s="230" t="s">
        <v>549</v>
      </c>
      <c r="F115" s="231">
        <v>9118.61</v>
      </c>
      <c r="G115" s="232">
        <f t="shared" si="34"/>
        <v>0.2192184344648524</v>
      </c>
      <c r="H115" s="233">
        <v>41596</v>
      </c>
      <c r="I115" s="234">
        <f t="shared" si="51"/>
        <v>53200</v>
      </c>
      <c r="J115" s="936">
        <f t="shared" si="36"/>
        <v>1.2789691316472738</v>
      </c>
      <c r="K115" s="241">
        <f t="shared" si="52"/>
        <v>53200</v>
      </c>
      <c r="L115" s="236">
        <f>SUM(M115:R115)</f>
        <v>53200</v>
      </c>
      <c r="M115" s="236"/>
      <c r="N115" s="236">
        <v>53200</v>
      </c>
      <c r="O115" s="236"/>
      <c r="P115" s="236"/>
      <c r="Q115" s="236"/>
      <c r="R115" s="236"/>
      <c r="S115" s="236"/>
      <c r="T115" s="236">
        <f>SUM(U115:AD115)</f>
        <v>0</v>
      </c>
      <c r="U115" s="236"/>
      <c r="V115" s="236"/>
      <c r="W115" s="236"/>
      <c r="X115" s="236"/>
      <c r="Y115" s="236"/>
      <c r="Z115" s="236"/>
      <c r="AA115" s="236"/>
      <c r="AB115" s="236"/>
      <c r="AC115" s="236"/>
      <c r="AD115" s="236"/>
      <c r="AE115" s="236"/>
    </row>
    <row r="116" spans="1:31" x14ac:dyDescent="0.2">
      <c r="A116" s="227"/>
      <c r="B116" s="227"/>
      <c r="C116" s="228" t="s">
        <v>413</v>
      </c>
      <c r="D116" s="229" t="s">
        <v>414</v>
      </c>
      <c r="E116" s="230" t="s">
        <v>550</v>
      </c>
      <c r="F116" s="231">
        <v>65571.259999999995</v>
      </c>
      <c r="G116" s="232">
        <f t="shared" si="34"/>
        <v>0.5575517647147854</v>
      </c>
      <c r="H116" s="233">
        <v>117605</v>
      </c>
      <c r="I116" s="234">
        <f t="shared" si="51"/>
        <v>82800</v>
      </c>
      <c r="J116" s="936">
        <f t="shared" si="36"/>
        <v>0.70404756776649158</v>
      </c>
      <c r="K116" s="241">
        <f t="shared" si="52"/>
        <v>82800</v>
      </c>
      <c r="L116" s="236">
        <f>SUM(M116:R116)</f>
        <v>82800</v>
      </c>
      <c r="M116" s="236"/>
      <c r="N116" s="236">
        <v>82800</v>
      </c>
      <c r="O116" s="236"/>
      <c r="P116" s="236"/>
      <c r="Q116" s="236"/>
      <c r="R116" s="236"/>
      <c r="S116" s="236"/>
      <c r="T116" s="236">
        <f>SUM(U116:AD116)</f>
        <v>0</v>
      </c>
      <c r="U116" s="236"/>
      <c r="V116" s="236"/>
      <c r="W116" s="236"/>
      <c r="X116" s="236"/>
      <c r="Y116" s="236"/>
      <c r="Z116" s="236"/>
      <c r="AA116" s="236"/>
      <c r="AB116" s="236"/>
      <c r="AC116" s="236"/>
      <c r="AD116" s="236"/>
      <c r="AE116" s="236"/>
    </row>
    <row r="117" spans="1:31" x14ac:dyDescent="0.2">
      <c r="A117" s="227"/>
      <c r="B117" s="227"/>
      <c r="C117" s="228" t="s">
        <v>528</v>
      </c>
      <c r="D117" s="229" t="s">
        <v>529</v>
      </c>
      <c r="E117" s="230" t="s">
        <v>551</v>
      </c>
      <c r="F117" s="231">
        <v>194.31</v>
      </c>
      <c r="G117" s="232">
        <f t="shared" si="34"/>
        <v>1</v>
      </c>
      <c r="H117" s="233">
        <v>194.31</v>
      </c>
      <c r="I117" s="234">
        <f t="shared" si="51"/>
        <v>0</v>
      </c>
      <c r="J117" s="936">
        <f t="shared" si="36"/>
        <v>0</v>
      </c>
      <c r="K117" s="241">
        <f t="shared" si="52"/>
        <v>0</v>
      </c>
      <c r="L117" s="236">
        <f>SUM(M117:R117)</f>
        <v>0</v>
      </c>
      <c r="M117" s="236"/>
      <c r="N117" s="236"/>
      <c r="O117" s="236"/>
      <c r="P117" s="236"/>
      <c r="Q117" s="236"/>
      <c r="R117" s="236"/>
      <c r="S117" s="236"/>
      <c r="T117" s="236">
        <f>SUM(U117:AD117)</f>
        <v>0</v>
      </c>
      <c r="U117" s="236"/>
      <c r="V117" s="236"/>
      <c r="W117" s="236"/>
      <c r="X117" s="236"/>
      <c r="Y117" s="236"/>
      <c r="Z117" s="236"/>
      <c r="AA117" s="236"/>
      <c r="AB117" s="236"/>
      <c r="AC117" s="236"/>
      <c r="AD117" s="236"/>
      <c r="AE117" s="236"/>
    </row>
    <row r="118" spans="1:31" ht="15" x14ac:dyDescent="0.2">
      <c r="A118" s="219"/>
      <c r="B118" s="220" t="s">
        <v>121</v>
      </c>
      <c r="C118" s="221"/>
      <c r="D118" s="222" t="s">
        <v>122</v>
      </c>
      <c r="E118" s="223">
        <f>E119+E120+E121+E122+E123+E124+E125+E126+E127+E128+E129+E130+E131+E132+E133+E134+E135</f>
        <v>939201</v>
      </c>
      <c r="F118" s="223">
        <f t="shared" ref="F118:AE118" si="53">F119+F120+F121+F122+F123+F124+F125+F126+F127+F128+F129+F130+F131+F132+F133+F134+F135</f>
        <v>656996.75999999989</v>
      </c>
      <c r="G118" s="238">
        <f t="shared" si="34"/>
        <v>0.69952732162763864</v>
      </c>
      <c r="H118" s="223">
        <f t="shared" si="53"/>
        <v>936690.5</v>
      </c>
      <c r="I118" s="225">
        <f t="shared" si="53"/>
        <v>1002810</v>
      </c>
      <c r="J118" s="937">
        <f t="shared" si="36"/>
        <v>1.0677267166453188</v>
      </c>
      <c r="K118" s="925">
        <f t="shared" si="53"/>
        <v>1002810</v>
      </c>
      <c r="L118" s="223">
        <f t="shared" si="53"/>
        <v>0</v>
      </c>
      <c r="M118" s="223">
        <f t="shared" si="53"/>
        <v>0</v>
      </c>
      <c r="N118" s="223">
        <f t="shared" si="53"/>
        <v>0</v>
      </c>
      <c r="O118" s="223">
        <f t="shared" si="53"/>
        <v>0</v>
      </c>
      <c r="P118" s="223">
        <f t="shared" si="53"/>
        <v>0</v>
      </c>
      <c r="Q118" s="223">
        <f t="shared" si="53"/>
        <v>0</v>
      </c>
      <c r="R118" s="226">
        <f>R119+R120+R121+R122+R123+R124+R125+R126+R127+R128+R129+R130+R131+R132+R133+R134+R135</f>
        <v>0</v>
      </c>
      <c r="S118" s="223">
        <f t="shared" si="53"/>
        <v>0</v>
      </c>
      <c r="T118" s="223">
        <f t="shared" si="53"/>
        <v>1002810</v>
      </c>
      <c r="U118" s="223">
        <f t="shared" si="53"/>
        <v>0</v>
      </c>
      <c r="V118" s="223">
        <f t="shared" si="53"/>
        <v>0</v>
      </c>
      <c r="W118" s="223">
        <f t="shared" si="53"/>
        <v>0</v>
      </c>
      <c r="X118" s="223">
        <f t="shared" si="53"/>
        <v>0</v>
      </c>
      <c r="Y118" s="223">
        <f t="shared" si="53"/>
        <v>0</v>
      </c>
      <c r="Z118" s="223">
        <f t="shared" si="53"/>
        <v>0</v>
      </c>
      <c r="AA118" s="223">
        <f t="shared" si="53"/>
        <v>0</v>
      </c>
      <c r="AB118" s="223">
        <f t="shared" si="53"/>
        <v>0</v>
      </c>
      <c r="AC118" s="223">
        <f t="shared" si="53"/>
        <v>0</v>
      </c>
      <c r="AD118" s="223">
        <f t="shared" si="53"/>
        <v>1002810</v>
      </c>
      <c r="AE118" s="223">
        <f t="shared" si="53"/>
        <v>0</v>
      </c>
    </row>
    <row r="119" spans="1:31" x14ac:dyDescent="0.2">
      <c r="A119" s="227"/>
      <c r="B119" s="227"/>
      <c r="C119" s="228" t="s">
        <v>491</v>
      </c>
      <c r="D119" s="229" t="s">
        <v>492</v>
      </c>
      <c r="E119" s="230" t="s">
        <v>552</v>
      </c>
      <c r="F119" s="231">
        <v>58.33</v>
      </c>
      <c r="G119" s="232">
        <f t="shared" si="34"/>
        <v>4.3207407407407403E-2</v>
      </c>
      <c r="H119" s="233">
        <v>1350</v>
      </c>
      <c r="I119" s="234">
        <f>K119</f>
        <v>1350</v>
      </c>
      <c r="J119" s="936">
        <f t="shared" si="36"/>
        <v>1</v>
      </c>
      <c r="K119" s="241">
        <f>L119+S119+T119</f>
        <v>1350</v>
      </c>
      <c r="L119" s="236">
        <f>SUM(M119:R119)</f>
        <v>0</v>
      </c>
      <c r="M119" s="236"/>
      <c r="N119" s="236"/>
      <c r="O119" s="236"/>
      <c r="P119" s="236"/>
      <c r="Q119" s="236"/>
      <c r="R119" s="236"/>
      <c r="S119" s="236"/>
      <c r="T119" s="236">
        <f>SUM(U119:AD119)</f>
        <v>1350</v>
      </c>
      <c r="U119" s="236"/>
      <c r="V119" s="236"/>
      <c r="W119" s="236"/>
      <c r="X119" s="236"/>
      <c r="Y119" s="236"/>
      <c r="Z119" s="236"/>
      <c r="AA119" s="236"/>
      <c r="AB119" s="236"/>
      <c r="AC119" s="236"/>
      <c r="AD119" s="236">
        <v>1350</v>
      </c>
      <c r="AE119" s="236"/>
    </row>
    <row r="120" spans="1:31" x14ac:dyDescent="0.2">
      <c r="A120" s="227"/>
      <c r="B120" s="227"/>
      <c r="C120" s="228" t="s">
        <v>401</v>
      </c>
      <c r="D120" s="229" t="s">
        <v>402</v>
      </c>
      <c r="E120" s="230" t="s">
        <v>553</v>
      </c>
      <c r="F120" s="231">
        <v>442831.44</v>
      </c>
      <c r="G120" s="232">
        <f t="shared" si="34"/>
        <v>0.69937456221123639</v>
      </c>
      <c r="H120" s="230" t="s">
        <v>553</v>
      </c>
      <c r="I120" s="234">
        <f t="shared" ref="I120:I135" si="54">K120</f>
        <v>660000</v>
      </c>
      <c r="J120" s="936">
        <f t="shared" si="36"/>
        <v>1.042354199284983</v>
      </c>
      <c r="K120" s="241">
        <f t="shared" ref="K120:K135" si="55">L120+S120+T120</f>
        <v>660000</v>
      </c>
      <c r="L120" s="236">
        <f t="shared" ref="L120:L135" si="56">SUM(M120:R120)</f>
        <v>0</v>
      </c>
      <c r="M120" s="236"/>
      <c r="N120" s="236"/>
      <c r="O120" s="236"/>
      <c r="P120" s="236"/>
      <c r="Q120" s="236"/>
      <c r="R120" s="236"/>
      <c r="S120" s="236"/>
      <c r="T120" s="236">
        <f t="shared" ref="T120:T135" si="57">SUM(U120:AD120)</f>
        <v>660000</v>
      </c>
      <c r="U120" s="236"/>
      <c r="V120" s="236"/>
      <c r="W120" s="236"/>
      <c r="X120" s="236"/>
      <c r="Y120" s="236"/>
      <c r="Z120" s="236"/>
      <c r="AA120" s="236"/>
      <c r="AB120" s="236"/>
      <c r="AC120" s="236"/>
      <c r="AD120" s="236">
        <v>660000</v>
      </c>
      <c r="AE120" s="236"/>
    </row>
    <row r="121" spans="1:31" x14ac:dyDescent="0.2">
      <c r="A121" s="227"/>
      <c r="B121" s="227"/>
      <c r="C121" s="228" t="s">
        <v>495</v>
      </c>
      <c r="D121" s="229" t="s">
        <v>496</v>
      </c>
      <c r="E121" s="230" t="s">
        <v>554</v>
      </c>
      <c r="F121" s="231">
        <v>42486.92</v>
      </c>
      <c r="G121" s="232">
        <f t="shared" si="34"/>
        <v>1</v>
      </c>
      <c r="H121" s="230" t="s">
        <v>554</v>
      </c>
      <c r="I121" s="234">
        <f t="shared" si="54"/>
        <v>45310</v>
      </c>
      <c r="J121" s="936">
        <f t="shared" si="36"/>
        <v>1.066445861455714</v>
      </c>
      <c r="K121" s="241">
        <f t="shared" si="55"/>
        <v>45310</v>
      </c>
      <c r="L121" s="236">
        <f t="shared" si="56"/>
        <v>0</v>
      </c>
      <c r="M121" s="236"/>
      <c r="N121" s="236"/>
      <c r="O121" s="236"/>
      <c r="P121" s="236"/>
      <c r="Q121" s="236"/>
      <c r="R121" s="236"/>
      <c r="S121" s="236"/>
      <c r="T121" s="236">
        <f t="shared" si="57"/>
        <v>45310</v>
      </c>
      <c r="U121" s="236"/>
      <c r="V121" s="236"/>
      <c r="W121" s="236"/>
      <c r="X121" s="236"/>
      <c r="Y121" s="236"/>
      <c r="Z121" s="236"/>
      <c r="AA121" s="236"/>
      <c r="AB121" s="236"/>
      <c r="AC121" s="236"/>
      <c r="AD121" s="236">
        <v>45310</v>
      </c>
      <c r="AE121" s="236"/>
    </row>
    <row r="122" spans="1:31" x14ac:dyDescent="0.2">
      <c r="A122" s="227"/>
      <c r="B122" s="227"/>
      <c r="C122" s="228" t="s">
        <v>404</v>
      </c>
      <c r="D122" s="229" t="s">
        <v>405</v>
      </c>
      <c r="E122" s="230" t="s">
        <v>555</v>
      </c>
      <c r="F122" s="231">
        <v>74787.509999999995</v>
      </c>
      <c r="G122" s="232">
        <f t="shared" si="34"/>
        <v>0.72250086946440983</v>
      </c>
      <c r="H122" s="230" t="s">
        <v>555</v>
      </c>
      <c r="I122" s="234">
        <f t="shared" si="54"/>
        <v>105803</v>
      </c>
      <c r="J122" s="936">
        <f t="shared" si="36"/>
        <v>1.0221326995903857</v>
      </c>
      <c r="K122" s="241">
        <f t="shared" si="55"/>
        <v>105803</v>
      </c>
      <c r="L122" s="236">
        <f t="shared" si="56"/>
        <v>0</v>
      </c>
      <c r="M122" s="236"/>
      <c r="N122" s="236"/>
      <c r="O122" s="236"/>
      <c r="P122" s="236"/>
      <c r="Q122" s="236"/>
      <c r="R122" s="236"/>
      <c r="S122" s="236"/>
      <c r="T122" s="236">
        <f t="shared" si="57"/>
        <v>105803</v>
      </c>
      <c r="U122" s="236"/>
      <c r="V122" s="236"/>
      <c r="W122" s="236"/>
      <c r="X122" s="236"/>
      <c r="Y122" s="236"/>
      <c r="Z122" s="236"/>
      <c r="AA122" s="236"/>
      <c r="AB122" s="236"/>
      <c r="AC122" s="236"/>
      <c r="AD122" s="236">
        <v>105803</v>
      </c>
      <c r="AE122" s="236"/>
    </row>
    <row r="123" spans="1:31" x14ac:dyDescent="0.2">
      <c r="A123" s="227"/>
      <c r="B123" s="227"/>
      <c r="C123" s="228" t="s">
        <v>407</v>
      </c>
      <c r="D123" s="229" t="s">
        <v>408</v>
      </c>
      <c r="E123" s="230" t="s">
        <v>556</v>
      </c>
      <c r="F123" s="231">
        <v>6797.57</v>
      </c>
      <c r="G123" s="232">
        <f t="shared" si="34"/>
        <v>0.46072726040395823</v>
      </c>
      <c r="H123" s="230" t="s">
        <v>556</v>
      </c>
      <c r="I123" s="234">
        <f t="shared" si="54"/>
        <v>15311</v>
      </c>
      <c r="J123" s="936">
        <f t="shared" si="36"/>
        <v>1.0377524739053816</v>
      </c>
      <c r="K123" s="241">
        <f t="shared" si="55"/>
        <v>15311</v>
      </c>
      <c r="L123" s="236">
        <f t="shared" si="56"/>
        <v>0</v>
      </c>
      <c r="M123" s="236"/>
      <c r="N123" s="236"/>
      <c r="O123" s="236"/>
      <c r="P123" s="236"/>
      <c r="Q123" s="236"/>
      <c r="R123" s="236"/>
      <c r="S123" s="236"/>
      <c r="T123" s="236">
        <f t="shared" si="57"/>
        <v>15311</v>
      </c>
      <c r="U123" s="236"/>
      <c r="V123" s="236"/>
      <c r="W123" s="236"/>
      <c r="X123" s="236"/>
      <c r="Y123" s="236"/>
      <c r="Z123" s="236"/>
      <c r="AA123" s="236"/>
      <c r="AB123" s="236"/>
      <c r="AC123" s="236"/>
      <c r="AD123" s="236">
        <v>15311</v>
      </c>
      <c r="AE123" s="236"/>
    </row>
    <row r="124" spans="1:31" x14ac:dyDescent="0.2">
      <c r="A124" s="227"/>
      <c r="B124" s="227"/>
      <c r="C124" s="228" t="s">
        <v>420</v>
      </c>
      <c r="D124" s="229" t="s">
        <v>421</v>
      </c>
      <c r="E124" s="230" t="s">
        <v>557</v>
      </c>
      <c r="F124" s="231">
        <v>16</v>
      </c>
      <c r="G124" s="232">
        <f t="shared" si="34"/>
        <v>5.3333333333333332E-3</v>
      </c>
      <c r="H124" s="230" t="s">
        <v>557</v>
      </c>
      <c r="I124" s="234">
        <f t="shared" si="54"/>
        <v>3000</v>
      </c>
      <c r="J124" s="936">
        <f t="shared" si="36"/>
        <v>1</v>
      </c>
      <c r="K124" s="241">
        <f t="shared" si="55"/>
        <v>3000</v>
      </c>
      <c r="L124" s="236">
        <f t="shared" si="56"/>
        <v>0</v>
      </c>
      <c r="M124" s="236"/>
      <c r="N124" s="236"/>
      <c r="O124" s="236"/>
      <c r="P124" s="236"/>
      <c r="Q124" s="236"/>
      <c r="R124" s="236"/>
      <c r="S124" s="236"/>
      <c r="T124" s="236">
        <f t="shared" si="57"/>
        <v>3000</v>
      </c>
      <c r="U124" s="236"/>
      <c r="V124" s="236"/>
      <c r="W124" s="236"/>
      <c r="X124" s="236"/>
      <c r="Y124" s="236"/>
      <c r="Z124" s="236"/>
      <c r="AA124" s="236"/>
      <c r="AB124" s="236"/>
      <c r="AC124" s="236"/>
      <c r="AD124" s="236">
        <v>3000</v>
      </c>
      <c r="AE124" s="236"/>
    </row>
    <row r="125" spans="1:31" x14ac:dyDescent="0.2">
      <c r="A125" s="227"/>
      <c r="B125" s="227"/>
      <c r="C125" s="228" t="s">
        <v>410</v>
      </c>
      <c r="D125" s="229" t="s">
        <v>411</v>
      </c>
      <c r="E125" s="230" t="s">
        <v>558</v>
      </c>
      <c r="F125" s="231">
        <v>8405.4699999999993</v>
      </c>
      <c r="G125" s="232">
        <f t="shared" si="34"/>
        <v>0.3113137037037037</v>
      </c>
      <c r="H125" s="233">
        <v>27000</v>
      </c>
      <c r="I125" s="234">
        <f t="shared" si="54"/>
        <v>35000</v>
      </c>
      <c r="J125" s="936">
        <f t="shared" si="36"/>
        <v>1.2962962962962963</v>
      </c>
      <c r="K125" s="241">
        <f t="shared" si="55"/>
        <v>35000</v>
      </c>
      <c r="L125" s="236">
        <f t="shared" si="56"/>
        <v>0</v>
      </c>
      <c r="M125" s="236"/>
      <c r="N125" s="236"/>
      <c r="O125" s="236"/>
      <c r="P125" s="236"/>
      <c r="Q125" s="236"/>
      <c r="R125" s="236"/>
      <c r="S125" s="236"/>
      <c r="T125" s="236">
        <f t="shared" si="57"/>
        <v>35000</v>
      </c>
      <c r="U125" s="236"/>
      <c r="V125" s="236"/>
      <c r="W125" s="236"/>
      <c r="X125" s="236"/>
      <c r="Y125" s="236"/>
      <c r="Z125" s="236"/>
      <c r="AA125" s="236"/>
      <c r="AB125" s="236"/>
      <c r="AC125" s="236"/>
      <c r="AD125" s="236">
        <v>35000</v>
      </c>
      <c r="AE125" s="236"/>
    </row>
    <row r="126" spans="1:31" x14ac:dyDescent="0.2">
      <c r="A126" s="227"/>
      <c r="B126" s="227"/>
      <c r="C126" s="228" t="s">
        <v>424</v>
      </c>
      <c r="D126" s="229" t="s">
        <v>425</v>
      </c>
      <c r="E126" s="230" t="s">
        <v>335</v>
      </c>
      <c r="F126" s="231">
        <v>121.83</v>
      </c>
      <c r="G126" s="232">
        <f t="shared" si="34"/>
        <v>2.4365999999999999E-2</v>
      </c>
      <c r="H126" s="233">
        <v>5000</v>
      </c>
      <c r="I126" s="234">
        <f t="shared" si="54"/>
        <v>5000</v>
      </c>
      <c r="J126" s="936">
        <f t="shared" si="36"/>
        <v>1</v>
      </c>
      <c r="K126" s="241">
        <f t="shared" si="55"/>
        <v>5000</v>
      </c>
      <c r="L126" s="236">
        <f t="shared" si="56"/>
        <v>0</v>
      </c>
      <c r="M126" s="236"/>
      <c r="N126" s="236"/>
      <c r="O126" s="236"/>
      <c r="P126" s="236"/>
      <c r="Q126" s="236"/>
      <c r="R126" s="236"/>
      <c r="S126" s="236"/>
      <c r="T126" s="236">
        <f t="shared" si="57"/>
        <v>5000</v>
      </c>
      <c r="U126" s="236"/>
      <c r="V126" s="236"/>
      <c r="W126" s="236"/>
      <c r="X126" s="236"/>
      <c r="Y126" s="236"/>
      <c r="Z126" s="236"/>
      <c r="AA126" s="236"/>
      <c r="AB126" s="236"/>
      <c r="AC126" s="236"/>
      <c r="AD126" s="236">
        <v>5000</v>
      </c>
      <c r="AE126" s="236"/>
    </row>
    <row r="127" spans="1:31" x14ac:dyDescent="0.2">
      <c r="A127" s="227"/>
      <c r="B127" s="227"/>
      <c r="C127" s="228" t="s">
        <v>438</v>
      </c>
      <c r="D127" s="229" t="s">
        <v>439</v>
      </c>
      <c r="E127" s="230" t="s">
        <v>559</v>
      </c>
      <c r="F127" s="231">
        <v>12779.74</v>
      </c>
      <c r="G127" s="232">
        <f t="shared" si="34"/>
        <v>0.85198266666666667</v>
      </c>
      <c r="H127" s="233">
        <v>15000</v>
      </c>
      <c r="I127" s="234">
        <f t="shared" si="54"/>
        <v>20000</v>
      </c>
      <c r="J127" s="936">
        <f t="shared" si="36"/>
        <v>1.3333333333333333</v>
      </c>
      <c r="K127" s="241">
        <f t="shared" si="55"/>
        <v>20000</v>
      </c>
      <c r="L127" s="236">
        <f t="shared" si="56"/>
        <v>0</v>
      </c>
      <c r="M127" s="236"/>
      <c r="N127" s="236"/>
      <c r="O127" s="236"/>
      <c r="P127" s="236"/>
      <c r="Q127" s="236"/>
      <c r="R127" s="236"/>
      <c r="S127" s="236"/>
      <c r="T127" s="236">
        <f t="shared" si="57"/>
        <v>20000</v>
      </c>
      <c r="U127" s="236"/>
      <c r="V127" s="236"/>
      <c r="W127" s="236"/>
      <c r="X127" s="236"/>
      <c r="Y127" s="236"/>
      <c r="Z127" s="236"/>
      <c r="AA127" s="236"/>
      <c r="AB127" s="236"/>
      <c r="AC127" s="236"/>
      <c r="AD127" s="236">
        <f>32000-12000</f>
        <v>20000</v>
      </c>
      <c r="AE127" s="236"/>
    </row>
    <row r="128" spans="1:31" x14ac:dyDescent="0.2">
      <c r="A128" s="227"/>
      <c r="B128" s="227"/>
      <c r="C128" s="228" t="s">
        <v>524</v>
      </c>
      <c r="D128" s="229" t="s">
        <v>525</v>
      </c>
      <c r="E128" s="230" t="s">
        <v>557</v>
      </c>
      <c r="F128" s="231">
        <v>490</v>
      </c>
      <c r="G128" s="232">
        <f t="shared" si="34"/>
        <v>0.16333333333333333</v>
      </c>
      <c r="H128" s="233">
        <v>490</v>
      </c>
      <c r="I128" s="234">
        <f t="shared" si="54"/>
        <v>2000</v>
      </c>
      <c r="J128" s="936">
        <f t="shared" si="36"/>
        <v>0.66666666666666663</v>
      </c>
      <c r="K128" s="241">
        <f t="shared" si="55"/>
        <v>2000</v>
      </c>
      <c r="L128" s="236">
        <f t="shared" si="56"/>
        <v>0</v>
      </c>
      <c r="M128" s="236"/>
      <c r="N128" s="236"/>
      <c r="O128" s="236"/>
      <c r="P128" s="236"/>
      <c r="Q128" s="236"/>
      <c r="R128" s="236"/>
      <c r="S128" s="236"/>
      <c r="T128" s="236">
        <f t="shared" si="57"/>
        <v>2000</v>
      </c>
      <c r="U128" s="236"/>
      <c r="V128" s="236"/>
      <c r="W128" s="236"/>
      <c r="X128" s="236"/>
      <c r="Y128" s="236"/>
      <c r="Z128" s="236"/>
      <c r="AA128" s="236"/>
      <c r="AB128" s="236"/>
      <c r="AC128" s="236"/>
      <c r="AD128" s="236">
        <v>2000</v>
      </c>
      <c r="AE128" s="236"/>
    </row>
    <row r="129" spans="1:31" x14ac:dyDescent="0.2">
      <c r="A129" s="227"/>
      <c r="B129" s="227"/>
      <c r="C129" s="228" t="s">
        <v>413</v>
      </c>
      <c r="D129" s="229" t="s">
        <v>414</v>
      </c>
      <c r="E129" s="230" t="s">
        <v>307</v>
      </c>
      <c r="F129" s="231">
        <v>30093.919999999998</v>
      </c>
      <c r="G129" s="232">
        <f t="shared" si="34"/>
        <v>0.85982628571428565</v>
      </c>
      <c r="H129" s="233">
        <v>35000</v>
      </c>
      <c r="I129" s="234">
        <f t="shared" si="54"/>
        <v>45000</v>
      </c>
      <c r="J129" s="936">
        <f t="shared" si="36"/>
        <v>1.2857142857142858</v>
      </c>
      <c r="K129" s="241">
        <f t="shared" si="55"/>
        <v>45000</v>
      </c>
      <c r="L129" s="236">
        <f t="shared" si="56"/>
        <v>0</v>
      </c>
      <c r="M129" s="236"/>
      <c r="N129" s="236"/>
      <c r="O129" s="236"/>
      <c r="P129" s="236"/>
      <c r="Q129" s="236"/>
      <c r="R129" s="236"/>
      <c r="S129" s="236"/>
      <c r="T129" s="236">
        <f t="shared" si="57"/>
        <v>45000</v>
      </c>
      <c r="U129" s="236"/>
      <c r="V129" s="236"/>
      <c r="W129" s="236"/>
      <c r="X129" s="236"/>
      <c r="Y129" s="236"/>
      <c r="Z129" s="236"/>
      <c r="AA129" s="236"/>
      <c r="AB129" s="236"/>
      <c r="AC129" s="236"/>
      <c r="AD129" s="236">
        <f>50000-5000</f>
        <v>45000</v>
      </c>
      <c r="AE129" s="236"/>
    </row>
    <row r="130" spans="1:31" x14ac:dyDescent="0.2">
      <c r="A130" s="227"/>
      <c r="B130" s="227"/>
      <c r="C130" s="228" t="s">
        <v>451</v>
      </c>
      <c r="D130" s="229" t="s">
        <v>452</v>
      </c>
      <c r="E130" s="230" t="s">
        <v>560</v>
      </c>
      <c r="F130" s="231">
        <v>2193.13</v>
      </c>
      <c r="G130" s="232">
        <f t="shared" si="34"/>
        <v>0.78326071428571431</v>
      </c>
      <c r="H130" s="233">
        <v>2800</v>
      </c>
      <c r="I130" s="234">
        <f t="shared" si="54"/>
        <v>3100</v>
      </c>
      <c r="J130" s="936">
        <f t="shared" si="36"/>
        <v>1.1071428571428572</v>
      </c>
      <c r="K130" s="241">
        <f t="shared" si="55"/>
        <v>3100</v>
      </c>
      <c r="L130" s="236">
        <f t="shared" si="56"/>
        <v>0</v>
      </c>
      <c r="M130" s="236"/>
      <c r="N130" s="236"/>
      <c r="O130" s="236"/>
      <c r="P130" s="236"/>
      <c r="Q130" s="236"/>
      <c r="R130" s="236"/>
      <c r="S130" s="236"/>
      <c r="T130" s="236">
        <f t="shared" si="57"/>
        <v>3100</v>
      </c>
      <c r="U130" s="236"/>
      <c r="V130" s="236"/>
      <c r="W130" s="236"/>
      <c r="X130" s="236"/>
      <c r="Y130" s="236"/>
      <c r="Z130" s="236"/>
      <c r="AA130" s="236"/>
      <c r="AB130" s="236"/>
      <c r="AC130" s="236"/>
      <c r="AD130" s="236">
        <v>3100</v>
      </c>
      <c r="AE130" s="236"/>
    </row>
    <row r="131" spans="1:31" ht="22.5" x14ac:dyDescent="0.2">
      <c r="A131" s="227"/>
      <c r="B131" s="227"/>
      <c r="C131" s="228" t="s">
        <v>530</v>
      </c>
      <c r="D131" s="229" t="s">
        <v>531</v>
      </c>
      <c r="E131" s="230" t="s">
        <v>174</v>
      </c>
      <c r="F131" s="231">
        <v>20000</v>
      </c>
      <c r="G131" s="232">
        <f t="shared" si="34"/>
        <v>0.66666666666666663</v>
      </c>
      <c r="H131" s="233">
        <v>30000</v>
      </c>
      <c r="I131" s="234">
        <f t="shared" si="54"/>
        <v>36000</v>
      </c>
      <c r="J131" s="936">
        <f t="shared" si="36"/>
        <v>1.2</v>
      </c>
      <c r="K131" s="241">
        <f t="shared" si="55"/>
        <v>36000</v>
      </c>
      <c r="L131" s="236">
        <f t="shared" si="56"/>
        <v>0</v>
      </c>
      <c r="M131" s="236"/>
      <c r="N131" s="236"/>
      <c r="O131" s="236"/>
      <c r="P131" s="236"/>
      <c r="Q131" s="236"/>
      <c r="R131" s="236"/>
      <c r="S131" s="236"/>
      <c r="T131" s="236">
        <f t="shared" si="57"/>
        <v>36000</v>
      </c>
      <c r="U131" s="236"/>
      <c r="V131" s="236"/>
      <c r="W131" s="236"/>
      <c r="X131" s="236"/>
      <c r="Y131" s="236"/>
      <c r="Z131" s="236"/>
      <c r="AA131" s="236"/>
      <c r="AB131" s="236"/>
      <c r="AC131" s="236"/>
      <c r="AD131" s="236">
        <v>36000</v>
      </c>
      <c r="AE131" s="236"/>
    </row>
    <row r="132" spans="1:31" x14ac:dyDescent="0.2">
      <c r="A132" s="227"/>
      <c r="B132" s="227"/>
      <c r="C132" s="228" t="s">
        <v>533</v>
      </c>
      <c r="D132" s="229" t="s">
        <v>534</v>
      </c>
      <c r="E132" s="230" t="s">
        <v>335</v>
      </c>
      <c r="F132" s="231">
        <v>1904.15</v>
      </c>
      <c r="G132" s="232">
        <f t="shared" si="34"/>
        <v>0.38083</v>
      </c>
      <c r="H132" s="233">
        <v>5000</v>
      </c>
      <c r="I132" s="234">
        <f t="shared" si="54"/>
        <v>5000</v>
      </c>
      <c r="J132" s="936">
        <f t="shared" si="36"/>
        <v>1</v>
      </c>
      <c r="K132" s="241">
        <f t="shared" si="55"/>
        <v>5000</v>
      </c>
      <c r="L132" s="236">
        <f t="shared" si="56"/>
        <v>0</v>
      </c>
      <c r="M132" s="236"/>
      <c r="N132" s="236"/>
      <c r="O132" s="236"/>
      <c r="P132" s="236"/>
      <c r="Q132" s="236"/>
      <c r="R132" s="236"/>
      <c r="S132" s="236"/>
      <c r="T132" s="236">
        <f t="shared" si="57"/>
        <v>5000</v>
      </c>
      <c r="U132" s="236"/>
      <c r="V132" s="236"/>
      <c r="W132" s="236"/>
      <c r="X132" s="236"/>
      <c r="Y132" s="236"/>
      <c r="Z132" s="236"/>
      <c r="AA132" s="236"/>
      <c r="AB132" s="236"/>
      <c r="AC132" s="236"/>
      <c r="AD132" s="236">
        <v>5000</v>
      </c>
      <c r="AE132" s="236"/>
    </row>
    <row r="133" spans="1:31" x14ac:dyDescent="0.2">
      <c r="A133" s="227"/>
      <c r="B133" s="227"/>
      <c r="C133" s="228" t="s">
        <v>416</v>
      </c>
      <c r="D133" s="229" t="s">
        <v>417</v>
      </c>
      <c r="E133" s="230" t="s">
        <v>340</v>
      </c>
      <c r="F133" s="231">
        <v>99.75</v>
      </c>
      <c r="G133" s="232">
        <f t="shared" si="34"/>
        <v>0.49875000000000003</v>
      </c>
      <c r="H133" s="233">
        <v>199.5</v>
      </c>
      <c r="I133" s="234">
        <f t="shared" si="54"/>
        <v>300</v>
      </c>
      <c r="J133" s="936">
        <f t="shared" si="36"/>
        <v>1.5</v>
      </c>
      <c r="K133" s="241">
        <f t="shared" si="55"/>
        <v>300</v>
      </c>
      <c r="L133" s="236">
        <f t="shared" si="56"/>
        <v>0</v>
      </c>
      <c r="M133" s="236"/>
      <c r="N133" s="236"/>
      <c r="O133" s="236"/>
      <c r="P133" s="236"/>
      <c r="Q133" s="236"/>
      <c r="R133" s="236"/>
      <c r="S133" s="236"/>
      <c r="T133" s="236">
        <f t="shared" si="57"/>
        <v>300</v>
      </c>
      <c r="U133" s="236"/>
      <c r="V133" s="236"/>
      <c r="W133" s="236"/>
      <c r="X133" s="236"/>
      <c r="Y133" s="236"/>
      <c r="Z133" s="236"/>
      <c r="AA133" s="236"/>
      <c r="AB133" s="236"/>
      <c r="AC133" s="236"/>
      <c r="AD133" s="236">
        <v>300</v>
      </c>
      <c r="AE133" s="236"/>
    </row>
    <row r="134" spans="1:31" x14ac:dyDescent="0.2">
      <c r="A134" s="227"/>
      <c r="B134" s="227"/>
      <c r="C134" s="228" t="s">
        <v>537</v>
      </c>
      <c r="D134" s="229" t="s">
        <v>538</v>
      </c>
      <c r="E134" s="230" t="s">
        <v>561</v>
      </c>
      <c r="F134" s="231">
        <v>11916</v>
      </c>
      <c r="G134" s="232">
        <f t="shared" si="34"/>
        <v>1</v>
      </c>
      <c r="H134" s="233">
        <v>11916</v>
      </c>
      <c r="I134" s="234">
        <f t="shared" si="54"/>
        <v>13636</v>
      </c>
      <c r="J134" s="936">
        <f t="shared" si="36"/>
        <v>1.1443437395099028</v>
      </c>
      <c r="K134" s="241">
        <f t="shared" si="55"/>
        <v>13636</v>
      </c>
      <c r="L134" s="236">
        <f t="shared" si="56"/>
        <v>0</v>
      </c>
      <c r="M134" s="236"/>
      <c r="N134" s="236"/>
      <c r="O134" s="236"/>
      <c r="P134" s="236"/>
      <c r="Q134" s="236"/>
      <c r="R134" s="236"/>
      <c r="S134" s="236"/>
      <c r="T134" s="236">
        <f t="shared" si="57"/>
        <v>13636</v>
      </c>
      <c r="U134" s="236"/>
      <c r="V134" s="236"/>
      <c r="W134" s="236"/>
      <c r="X134" s="236"/>
      <c r="Y134" s="236"/>
      <c r="Z134" s="236"/>
      <c r="AA134" s="236"/>
      <c r="AB134" s="236"/>
      <c r="AC134" s="236"/>
      <c r="AD134" s="236">
        <v>13636</v>
      </c>
      <c r="AE134" s="236"/>
    </row>
    <row r="135" spans="1:31" ht="22.5" x14ac:dyDescent="0.2">
      <c r="A135" s="227"/>
      <c r="B135" s="227"/>
      <c r="C135" s="228" t="s">
        <v>540</v>
      </c>
      <c r="D135" s="229" t="s">
        <v>541</v>
      </c>
      <c r="E135" s="230" t="s">
        <v>161</v>
      </c>
      <c r="F135" s="231">
        <v>2015</v>
      </c>
      <c r="G135" s="232">
        <f t="shared" si="34"/>
        <v>0.33583333333333332</v>
      </c>
      <c r="H135" s="233">
        <v>6000</v>
      </c>
      <c r="I135" s="234">
        <f t="shared" si="54"/>
        <v>7000</v>
      </c>
      <c r="J135" s="936">
        <f t="shared" si="36"/>
        <v>1.1666666666666667</v>
      </c>
      <c r="K135" s="241">
        <f t="shared" si="55"/>
        <v>7000</v>
      </c>
      <c r="L135" s="236">
        <f t="shared" si="56"/>
        <v>0</v>
      </c>
      <c r="M135" s="236"/>
      <c r="N135" s="236"/>
      <c r="O135" s="236"/>
      <c r="P135" s="236"/>
      <c r="Q135" s="236"/>
      <c r="R135" s="236"/>
      <c r="S135" s="236"/>
      <c r="T135" s="236">
        <f t="shared" si="57"/>
        <v>7000</v>
      </c>
      <c r="U135" s="236"/>
      <c r="V135" s="236"/>
      <c r="W135" s="236"/>
      <c r="X135" s="236"/>
      <c r="Y135" s="236"/>
      <c r="Z135" s="236"/>
      <c r="AA135" s="236"/>
      <c r="AB135" s="236"/>
      <c r="AC135" s="236"/>
      <c r="AD135" s="236">
        <v>7000</v>
      </c>
      <c r="AE135" s="236"/>
    </row>
    <row r="136" spans="1:31" ht="15" x14ac:dyDescent="0.2">
      <c r="A136" s="219"/>
      <c r="B136" s="220" t="s">
        <v>562</v>
      </c>
      <c r="C136" s="221"/>
      <c r="D136" s="222" t="s">
        <v>41</v>
      </c>
      <c r="E136" s="223">
        <f>E137+E138+E139</f>
        <v>213404</v>
      </c>
      <c r="F136" s="223">
        <f t="shared" ref="F136:AE136" si="58">F137+F138+F139</f>
        <v>174995.20000000001</v>
      </c>
      <c r="G136" s="238">
        <f t="shared" ref="G136:G202" si="59">F136/E136</f>
        <v>0.82001836891529689</v>
      </c>
      <c r="H136" s="223">
        <f t="shared" si="58"/>
        <v>203255</v>
      </c>
      <c r="I136" s="225">
        <f t="shared" si="58"/>
        <v>203036</v>
      </c>
      <c r="J136" s="937">
        <f t="shared" ref="J136:J202" si="60">I136/E136</f>
        <v>0.95141609341905498</v>
      </c>
      <c r="K136" s="925">
        <f t="shared" si="58"/>
        <v>203036</v>
      </c>
      <c r="L136" s="223">
        <f t="shared" si="58"/>
        <v>203036</v>
      </c>
      <c r="M136" s="223">
        <f t="shared" si="58"/>
        <v>0</v>
      </c>
      <c r="N136" s="223">
        <f t="shared" si="58"/>
        <v>0</v>
      </c>
      <c r="O136" s="223">
        <f t="shared" si="58"/>
        <v>120036</v>
      </c>
      <c r="P136" s="223">
        <f t="shared" si="58"/>
        <v>83000</v>
      </c>
      <c r="Q136" s="223">
        <f t="shared" si="58"/>
        <v>0</v>
      </c>
      <c r="R136" s="226">
        <f>R137+R138+R139</f>
        <v>0</v>
      </c>
      <c r="S136" s="223">
        <f t="shared" si="58"/>
        <v>0</v>
      </c>
      <c r="T136" s="223">
        <f t="shared" si="58"/>
        <v>0</v>
      </c>
      <c r="U136" s="223">
        <f t="shared" si="58"/>
        <v>0</v>
      </c>
      <c r="V136" s="223">
        <f t="shared" si="58"/>
        <v>0</v>
      </c>
      <c r="W136" s="223">
        <f t="shared" si="58"/>
        <v>0</v>
      </c>
      <c r="X136" s="223">
        <f t="shared" si="58"/>
        <v>0</v>
      </c>
      <c r="Y136" s="223">
        <f t="shared" si="58"/>
        <v>0</v>
      </c>
      <c r="Z136" s="223">
        <f t="shared" si="58"/>
        <v>0</v>
      </c>
      <c r="AA136" s="223">
        <f t="shared" si="58"/>
        <v>0</v>
      </c>
      <c r="AB136" s="223">
        <f t="shared" si="58"/>
        <v>0</v>
      </c>
      <c r="AC136" s="223">
        <f t="shared" si="58"/>
        <v>0</v>
      </c>
      <c r="AD136" s="223">
        <f t="shared" si="58"/>
        <v>0</v>
      </c>
      <c r="AE136" s="223">
        <f t="shared" si="58"/>
        <v>0</v>
      </c>
    </row>
    <row r="137" spans="1:31" x14ac:dyDescent="0.2">
      <c r="A137" s="227"/>
      <c r="B137" s="227"/>
      <c r="C137" s="228" t="s">
        <v>504</v>
      </c>
      <c r="D137" s="229" t="s">
        <v>505</v>
      </c>
      <c r="E137" s="230" t="s">
        <v>563</v>
      </c>
      <c r="F137" s="231">
        <v>83538</v>
      </c>
      <c r="G137" s="232">
        <f t="shared" si="59"/>
        <v>0.75</v>
      </c>
      <c r="H137" s="233">
        <v>111384</v>
      </c>
      <c r="I137" s="234">
        <f>K137</f>
        <v>119016</v>
      </c>
      <c r="J137" s="936">
        <f t="shared" si="60"/>
        <v>1.0685197155785391</v>
      </c>
      <c r="K137" s="241">
        <f>L137+S137+T137</f>
        <v>119016</v>
      </c>
      <c r="L137" s="236">
        <f>SUM(M137:R137)</f>
        <v>119016</v>
      </c>
      <c r="M137" s="236"/>
      <c r="N137" s="236"/>
      <c r="O137" s="236">
        <v>119016</v>
      </c>
      <c r="P137" s="236"/>
      <c r="Q137" s="236"/>
      <c r="R137" s="236"/>
      <c r="S137" s="236"/>
      <c r="T137" s="236">
        <f>SUM(U137:AD137)</f>
        <v>0</v>
      </c>
      <c r="U137" s="236"/>
      <c r="V137" s="236"/>
      <c r="W137" s="236"/>
      <c r="X137" s="236"/>
      <c r="Y137" s="236"/>
      <c r="Z137" s="236"/>
      <c r="AA137" s="236"/>
      <c r="AB137" s="236"/>
      <c r="AC137" s="236"/>
      <c r="AD137" s="236"/>
      <c r="AE137" s="236"/>
    </row>
    <row r="138" spans="1:31" x14ac:dyDescent="0.2">
      <c r="A138" s="227"/>
      <c r="B138" s="227"/>
      <c r="C138" s="228" t="s">
        <v>564</v>
      </c>
      <c r="D138" s="229" t="s">
        <v>565</v>
      </c>
      <c r="E138" s="230" t="s">
        <v>557</v>
      </c>
      <c r="F138" s="231">
        <v>1242</v>
      </c>
      <c r="G138" s="232">
        <f t="shared" si="59"/>
        <v>0.41399999999999998</v>
      </c>
      <c r="H138" s="233">
        <v>1656</v>
      </c>
      <c r="I138" s="234">
        <f t="shared" ref="I138:I139" si="61">K138</f>
        <v>3000</v>
      </c>
      <c r="J138" s="936">
        <f t="shared" si="60"/>
        <v>1</v>
      </c>
      <c r="K138" s="241">
        <f t="shared" ref="K138:K139" si="62">L138+S138+T138</f>
        <v>3000</v>
      </c>
      <c r="L138" s="236">
        <f>SUM(M138:R138)</f>
        <v>3000</v>
      </c>
      <c r="M138" s="236"/>
      <c r="N138" s="236"/>
      <c r="O138" s="236"/>
      <c r="P138" s="236">
        <v>3000</v>
      </c>
      <c r="Q138" s="236"/>
      <c r="R138" s="236"/>
      <c r="S138" s="236"/>
      <c r="T138" s="236">
        <f>SUM(U138:AD138)</f>
        <v>0</v>
      </c>
      <c r="U138" s="236"/>
      <c r="V138" s="236"/>
      <c r="W138" s="236"/>
      <c r="X138" s="236"/>
      <c r="Y138" s="236"/>
      <c r="Z138" s="236"/>
      <c r="AA138" s="236"/>
      <c r="AB138" s="236"/>
      <c r="AC138" s="236"/>
      <c r="AD138" s="236"/>
      <c r="AE138" s="236"/>
    </row>
    <row r="139" spans="1:31" x14ac:dyDescent="0.2">
      <c r="A139" s="227"/>
      <c r="B139" s="227"/>
      <c r="C139" s="228" t="s">
        <v>416</v>
      </c>
      <c r="D139" s="229" t="s">
        <v>417</v>
      </c>
      <c r="E139" s="230" t="s">
        <v>566</v>
      </c>
      <c r="F139" s="231">
        <v>90215.2</v>
      </c>
      <c r="G139" s="232">
        <f t="shared" si="59"/>
        <v>0.91108058977984241</v>
      </c>
      <c r="H139" s="233">
        <v>90215</v>
      </c>
      <c r="I139" s="234">
        <f t="shared" si="61"/>
        <v>81020</v>
      </c>
      <c r="J139" s="936">
        <f t="shared" si="60"/>
        <v>0.81821854170874575</v>
      </c>
      <c r="K139" s="241">
        <f t="shared" si="62"/>
        <v>81020</v>
      </c>
      <c r="L139" s="236">
        <f>SUM(M139:R139)</f>
        <v>81020</v>
      </c>
      <c r="M139" s="236"/>
      <c r="N139" s="236"/>
      <c r="O139" s="236">
        <v>1020</v>
      </c>
      <c r="P139" s="236">
        <v>80000</v>
      </c>
      <c r="Q139" s="236"/>
      <c r="R139" s="236"/>
      <c r="S139" s="236"/>
      <c r="T139" s="236">
        <f>SUM(U139:AD139)</f>
        <v>0</v>
      </c>
      <c r="U139" s="236"/>
      <c r="V139" s="236"/>
      <c r="W139" s="236"/>
      <c r="X139" s="236"/>
      <c r="Y139" s="236"/>
      <c r="Z139" s="236"/>
      <c r="AA139" s="236"/>
      <c r="AB139" s="236"/>
      <c r="AC139" s="236"/>
      <c r="AD139" s="236"/>
      <c r="AE139" s="236"/>
    </row>
    <row r="140" spans="1:31" ht="22.5" x14ac:dyDescent="0.2">
      <c r="A140" s="213" t="s">
        <v>123</v>
      </c>
      <c r="B140" s="213"/>
      <c r="C140" s="213"/>
      <c r="D140" s="214" t="s">
        <v>124</v>
      </c>
      <c r="E140" s="215">
        <f>E141+E145</f>
        <v>71670</v>
      </c>
      <c r="F140" s="215">
        <f t="shared" ref="F140:AE140" si="63">F141+F145</f>
        <v>7868.67</v>
      </c>
      <c r="G140" s="246">
        <f t="shared" si="59"/>
        <v>0.10979028882377564</v>
      </c>
      <c r="H140" s="215">
        <f t="shared" si="63"/>
        <v>71670</v>
      </c>
      <c r="I140" s="217">
        <f t="shared" si="63"/>
        <v>3517</v>
      </c>
      <c r="J140" s="938">
        <f t="shared" si="60"/>
        <v>4.9072136179712574E-2</v>
      </c>
      <c r="K140" s="924">
        <f t="shared" si="63"/>
        <v>3517</v>
      </c>
      <c r="L140" s="215">
        <f t="shared" si="63"/>
        <v>3517</v>
      </c>
      <c r="M140" s="215">
        <f t="shared" si="63"/>
        <v>0</v>
      </c>
      <c r="N140" s="215">
        <f t="shared" si="63"/>
        <v>0</v>
      </c>
      <c r="O140" s="215">
        <f t="shared" si="63"/>
        <v>0</v>
      </c>
      <c r="P140" s="215">
        <f t="shared" si="63"/>
        <v>3517</v>
      </c>
      <c r="Q140" s="215">
        <f t="shared" si="63"/>
        <v>0</v>
      </c>
      <c r="R140" s="218">
        <f>R141+R145</f>
        <v>0</v>
      </c>
      <c r="S140" s="215">
        <f t="shared" si="63"/>
        <v>0</v>
      </c>
      <c r="T140" s="215">
        <f t="shared" si="63"/>
        <v>0</v>
      </c>
      <c r="U140" s="215">
        <f t="shared" si="63"/>
        <v>0</v>
      </c>
      <c r="V140" s="215">
        <f t="shared" si="63"/>
        <v>0</v>
      </c>
      <c r="W140" s="215">
        <f t="shared" si="63"/>
        <v>0</v>
      </c>
      <c r="X140" s="215">
        <f t="shared" si="63"/>
        <v>0</v>
      </c>
      <c r="Y140" s="215">
        <f t="shared" si="63"/>
        <v>0</v>
      </c>
      <c r="Z140" s="215">
        <f t="shared" si="63"/>
        <v>0</v>
      </c>
      <c r="AA140" s="215">
        <f t="shared" si="63"/>
        <v>0</v>
      </c>
      <c r="AB140" s="215">
        <f t="shared" si="63"/>
        <v>0</v>
      </c>
      <c r="AC140" s="215">
        <f t="shared" si="63"/>
        <v>0</v>
      </c>
      <c r="AD140" s="215">
        <f t="shared" si="63"/>
        <v>0</v>
      </c>
      <c r="AE140" s="215">
        <f t="shared" si="63"/>
        <v>0</v>
      </c>
    </row>
    <row r="141" spans="1:31" ht="22.5" x14ac:dyDescent="0.2">
      <c r="A141" s="219"/>
      <c r="B141" s="220" t="s">
        <v>125</v>
      </c>
      <c r="C141" s="221"/>
      <c r="D141" s="222" t="s">
        <v>126</v>
      </c>
      <c r="E141" s="223">
        <f>E142+E143+E144</f>
        <v>3500</v>
      </c>
      <c r="F141" s="223">
        <f t="shared" ref="F141:AE141" si="64">F142+F143+F144</f>
        <v>2624</v>
      </c>
      <c r="G141" s="238">
        <f t="shared" si="59"/>
        <v>0.74971428571428567</v>
      </c>
      <c r="H141" s="223">
        <f t="shared" si="64"/>
        <v>3500</v>
      </c>
      <c r="I141" s="225">
        <f t="shared" si="64"/>
        <v>3517</v>
      </c>
      <c r="J141" s="937">
        <f t="shared" si="60"/>
        <v>1.0048571428571429</v>
      </c>
      <c r="K141" s="925">
        <f t="shared" si="64"/>
        <v>3517</v>
      </c>
      <c r="L141" s="223">
        <f t="shared" si="64"/>
        <v>3517</v>
      </c>
      <c r="M141" s="223">
        <f t="shared" si="64"/>
        <v>0</v>
      </c>
      <c r="N141" s="223">
        <f t="shared" si="64"/>
        <v>0</v>
      </c>
      <c r="O141" s="223">
        <f t="shared" si="64"/>
        <v>0</v>
      </c>
      <c r="P141" s="223">
        <f t="shared" si="64"/>
        <v>3517</v>
      </c>
      <c r="Q141" s="223">
        <f t="shared" si="64"/>
        <v>0</v>
      </c>
      <c r="R141" s="226">
        <f>R142+R143+R144</f>
        <v>0</v>
      </c>
      <c r="S141" s="223">
        <f t="shared" si="64"/>
        <v>0</v>
      </c>
      <c r="T141" s="223">
        <f t="shared" si="64"/>
        <v>0</v>
      </c>
      <c r="U141" s="223">
        <f t="shared" si="64"/>
        <v>0</v>
      </c>
      <c r="V141" s="223">
        <f t="shared" si="64"/>
        <v>0</v>
      </c>
      <c r="W141" s="223">
        <f t="shared" si="64"/>
        <v>0</v>
      </c>
      <c r="X141" s="223">
        <f t="shared" si="64"/>
        <v>0</v>
      </c>
      <c r="Y141" s="223">
        <f t="shared" si="64"/>
        <v>0</v>
      </c>
      <c r="Z141" s="223">
        <f t="shared" si="64"/>
        <v>0</v>
      </c>
      <c r="AA141" s="223">
        <f t="shared" si="64"/>
        <v>0</v>
      </c>
      <c r="AB141" s="223">
        <f t="shared" si="64"/>
        <v>0</v>
      </c>
      <c r="AC141" s="223">
        <f t="shared" si="64"/>
        <v>0</v>
      </c>
      <c r="AD141" s="223">
        <f t="shared" si="64"/>
        <v>0</v>
      </c>
      <c r="AE141" s="223">
        <f t="shared" si="64"/>
        <v>0</v>
      </c>
    </row>
    <row r="142" spans="1:31" x14ac:dyDescent="0.2">
      <c r="A142" s="227"/>
      <c r="B142" s="227"/>
      <c r="C142" s="228" t="s">
        <v>401</v>
      </c>
      <c r="D142" s="229" t="s">
        <v>402</v>
      </c>
      <c r="E142" s="230" t="s">
        <v>567</v>
      </c>
      <c r="F142" s="231">
        <v>2209.1799999999998</v>
      </c>
      <c r="G142" s="232">
        <f t="shared" si="59"/>
        <v>0.74754926012526934</v>
      </c>
      <c r="H142" s="230" t="s">
        <v>567</v>
      </c>
      <c r="I142" s="234">
        <v>2941.87</v>
      </c>
      <c r="J142" s="936">
        <f t="shared" si="60"/>
        <v>0.99547920128044176</v>
      </c>
      <c r="K142" s="241">
        <f>L142+S142+T142</f>
        <v>2941.87</v>
      </c>
      <c r="L142" s="236">
        <f>SUM(M142:R142)</f>
        <v>2941.87</v>
      </c>
      <c r="M142" s="236"/>
      <c r="N142" s="236"/>
      <c r="O142" s="236"/>
      <c r="P142" s="236">
        <v>2941.87</v>
      </c>
      <c r="Q142" s="236"/>
      <c r="R142" s="236"/>
      <c r="S142" s="236"/>
      <c r="T142" s="236">
        <f>SUM(U142:AD142)</f>
        <v>0</v>
      </c>
      <c r="U142" s="236"/>
      <c r="V142" s="236"/>
      <c r="W142" s="236"/>
      <c r="X142" s="236"/>
      <c r="Y142" s="236"/>
      <c r="Z142" s="236"/>
      <c r="AA142" s="236"/>
      <c r="AB142" s="236"/>
      <c r="AC142" s="236"/>
      <c r="AD142" s="236"/>
      <c r="AE142" s="236"/>
    </row>
    <row r="143" spans="1:31" x14ac:dyDescent="0.2">
      <c r="A143" s="227"/>
      <c r="B143" s="227"/>
      <c r="C143" s="228" t="s">
        <v>404</v>
      </c>
      <c r="D143" s="229" t="s">
        <v>405</v>
      </c>
      <c r="E143" s="230" t="s">
        <v>568</v>
      </c>
      <c r="F143" s="231">
        <v>378.71</v>
      </c>
      <c r="G143" s="232">
        <f t="shared" si="59"/>
        <v>0.74549212598425196</v>
      </c>
      <c r="H143" s="230" t="s">
        <v>568</v>
      </c>
      <c r="I143" s="234">
        <v>503.06</v>
      </c>
      <c r="J143" s="936">
        <f t="shared" si="60"/>
        <v>0.99027559055118108</v>
      </c>
      <c r="K143" s="241">
        <f t="shared" ref="K143:K144" si="65">L143+S143+T143</f>
        <v>503.06</v>
      </c>
      <c r="L143" s="236">
        <f>SUM(M143:R143)</f>
        <v>503.06</v>
      </c>
      <c r="M143" s="236"/>
      <c r="N143" s="236"/>
      <c r="O143" s="236"/>
      <c r="P143" s="236">
        <v>503.06</v>
      </c>
      <c r="Q143" s="236"/>
      <c r="R143" s="236"/>
      <c r="S143" s="236"/>
      <c r="T143" s="236">
        <f>SUM(U143:AD143)</f>
        <v>0</v>
      </c>
      <c r="U143" s="236"/>
      <c r="V143" s="236"/>
      <c r="W143" s="236"/>
      <c r="X143" s="236"/>
      <c r="Y143" s="236"/>
      <c r="Z143" s="236"/>
      <c r="AA143" s="236"/>
      <c r="AB143" s="236"/>
      <c r="AC143" s="236"/>
      <c r="AD143" s="236"/>
      <c r="AE143" s="236"/>
    </row>
    <row r="144" spans="1:31" x14ac:dyDescent="0.2">
      <c r="A144" s="227"/>
      <c r="B144" s="227"/>
      <c r="C144" s="228" t="s">
        <v>407</v>
      </c>
      <c r="D144" s="229" t="s">
        <v>408</v>
      </c>
      <c r="E144" s="230" t="s">
        <v>569</v>
      </c>
      <c r="F144" s="231">
        <v>36.11</v>
      </c>
      <c r="G144" s="232">
        <f t="shared" si="59"/>
        <v>0.98205058471580087</v>
      </c>
      <c r="H144" s="230" t="s">
        <v>569</v>
      </c>
      <c r="I144" s="234">
        <v>72.069999999999993</v>
      </c>
      <c r="J144" s="936">
        <f t="shared" si="60"/>
        <v>1.9600217568670109</v>
      </c>
      <c r="K144" s="241">
        <f t="shared" si="65"/>
        <v>72.069999999999993</v>
      </c>
      <c r="L144" s="236">
        <f>SUM(M144:R144)</f>
        <v>72.069999999999993</v>
      </c>
      <c r="M144" s="236"/>
      <c r="N144" s="236"/>
      <c r="O144" s="236"/>
      <c r="P144" s="236">
        <v>72.069999999999993</v>
      </c>
      <c r="Q144" s="236"/>
      <c r="R144" s="236"/>
      <c r="S144" s="236"/>
      <c r="T144" s="236">
        <f>SUM(U144:AD144)</f>
        <v>0</v>
      </c>
      <c r="U144" s="236"/>
      <c r="V144" s="236"/>
      <c r="W144" s="236"/>
      <c r="X144" s="236"/>
      <c r="Y144" s="236"/>
      <c r="Z144" s="236"/>
      <c r="AA144" s="236"/>
      <c r="AB144" s="236"/>
      <c r="AC144" s="236"/>
      <c r="AD144" s="236"/>
      <c r="AE144" s="236"/>
    </row>
    <row r="145" spans="1:31" ht="45" x14ac:dyDescent="0.2">
      <c r="A145" s="219"/>
      <c r="B145" s="220" t="s">
        <v>128</v>
      </c>
      <c r="C145" s="221"/>
      <c r="D145" s="222" t="s">
        <v>129</v>
      </c>
      <c r="E145" s="223">
        <f>E146+E147+E148+E149+E150+E151+E152+E153</f>
        <v>68170</v>
      </c>
      <c r="F145" s="223">
        <f t="shared" ref="F145:AE145" si="66">F146+F147+F148+F149+F150+F151+F152+F153</f>
        <v>5244.67</v>
      </c>
      <c r="G145" s="238">
        <f t="shared" si="59"/>
        <v>7.6935162094763088E-2</v>
      </c>
      <c r="H145" s="223">
        <f t="shared" si="66"/>
        <v>68170</v>
      </c>
      <c r="I145" s="225">
        <f t="shared" si="66"/>
        <v>0</v>
      </c>
      <c r="J145" s="937">
        <f t="shared" si="60"/>
        <v>0</v>
      </c>
      <c r="K145" s="925">
        <f t="shared" si="66"/>
        <v>0</v>
      </c>
      <c r="L145" s="223">
        <f t="shared" si="66"/>
        <v>0</v>
      </c>
      <c r="M145" s="223">
        <f t="shared" si="66"/>
        <v>0</v>
      </c>
      <c r="N145" s="223">
        <f t="shared" si="66"/>
        <v>0</v>
      </c>
      <c r="O145" s="223">
        <f t="shared" si="66"/>
        <v>0</v>
      </c>
      <c r="P145" s="223">
        <f t="shared" si="66"/>
        <v>0</v>
      </c>
      <c r="Q145" s="223">
        <f t="shared" si="66"/>
        <v>0</v>
      </c>
      <c r="R145" s="226">
        <f>R146+R147+R148+R149+R150+R151+R152+R153</f>
        <v>0</v>
      </c>
      <c r="S145" s="223">
        <f t="shared" si="66"/>
        <v>0</v>
      </c>
      <c r="T145" s="223">
        <f t="shared" si="66"/>
        <v>0</v>
      </c>
      <c r="U145" s="223">
        <f t="shared" si="66"/>
        <v>0</v>
      </c>
      <c r="V145" s="223">
        <f t="shared" si="66"/>
        <v>0</v>
      </c>
      <c r="W145" s="223">
        <f t="shared" si="66"/>
        <v>0</v>
      </c>
      <c r="X145" s="223">
        <f t="shared" si="66"/>
        <v>0</v>
      </c>
      <c r="Y145" s="223">
        <f t="shared" si="66"/>
        <v>0</v>
      </c>
      <c r="Z145" s="223">
        <f t="shared" si="66"/>
        <v>0</v>
      </c>
      <c r="AA145" s="223">
        <f t="shared" si="66"/>
        <v>0</v>
      </c>
      <c r="AB145" s="223">
        <f t="shared" si="66"/>
        <v>0</v>
      </c>
      <c r="AC145" s="223">
        <f t="shared" si="66"/>
        <v>0</v>
      </c>
      <c r="AD145" s="223">
        <f t="shared" si="66"/>
        <v>0</v>
      </c>
      <c r="AE145" s="223">
        <f t="shared" si="66"/>
        <v>0</v>
      </c>
    </row>
    <row r="146" spans="1:31" x14ac:dyDescent="0.2">
      <c r="A146" s="227"/>
      <c r="B146" s="227"/>
      <c r="C146" s="228" t="s">
        <v>504</v>
      </c>
      <c r="D146" s="229" t="s">
        <v>505</v>
      </c>
      <c r="E146" s="230" t="s">
        <v>570</v>
      </c>
      <c r="F146" s="231">
        <v>0</v>
      </c>
      <c r="G146" s="232">
        <f t="shared" si="59"/>
        <v>0</v>
      </c>
      <c r="H146" s="230" t="s">
        <v>570</v>
      </c>
      <c r="I146" s="234">
        <v>0</v>
      </c>
      <c r="J146" s="936">
        <f t="shared" si="60"/>
        <v>0</v>
      </c>
      <c r="K146" s="241">
        <f>L146+S146+T146</f>
        <v>0</v>
      </c>
      <c r="L146" s="236">
        <f>SUM(M146:R146)</f>
        <v>0</v>
      </c>
      <c r="M146" s="236"/>
      <c r="N146" s="236"/>
      <c r="O146" s="236"/>
      <c r="P146" s="236"/>
      <c r="Q146" s="236"/>
      <c r="R146" s="236"/>
      <c r="S146" s="236"/>
      <c r="T146" s="236">
        <f>SUM(U146:AD146)</f>
        <v>0</v>
      </c>
      <c r="U146" s="236"/>
      <c r="V146" s="236"/>
      <c r="W146" s="236"/>
      <c r="X146" s="236"/>
      <c r="Y146" s="236"/>
      <c r="Z146" s="236"/>
      <c r="AA146" s="236"/>
      <c r="AB146" s="236"/>
      <c r="AC146" s="236"/>
      <c r="AD146" s="236"/>
      <c r="AE146" s="236"/>
    </row>
    <row r="147" spans="1:31" x14ac:dyDescent="0.2">
      <c r="A147" s="227"/>
      <c r="B147" s="227"/>
      <c r="C147" s="228" t="s">
        <v>404</v>
      </c>
      <c r="D147" s="229" t="s">
        <v>405</v>
      </c>
      <c r="E147" s="230" t="s">
        <v>571</v>
      </c>
      <c r="F147" s="231">
        <v>0</v>
      </c>
      <c r="G147" s="232">
        <f t="shared" si="59"/>
        <v>0</v>
      </c>
      <c r="H147" s="230" t="s">
        <v>571</v>
      </c>
      <c r="I147" s="234">
        <v>0</v>
      </c>
      <c r="J147" s="936">
        <f t="shared" si="60"/>
        <v>0</v>
      </c>
      <c r="K147" s="241">
        <f t="shared" ref="K147:K153" si="67">L147+S147+T147</f>
        <v>0</v>
      </c>
      <c r="L147" s="236">
        <f t="shared" ref="L147:L153" si="68">SUM(M147:R147)</f>
        <v>0</v>
      </c>
      <c r="M147" s="236"/>
      <c r="N147" s="236"/>
      <c r="O147" s="236"/>
      <c r="P147" s="236"/>
      <c r="Q147" s="236"/>
      <c r="R147" s="236"/>
      <c r="S147" s="236"/>
      <c r="T147" s="236">
        <f t="shared" ref="T147:T153" si="69">SUM(U147:AD147)</f>
        <v>0</v>
      </c>
      <c r="U147" s="236"/>
      <c r="V147" s="236"/>
      <c r="W147" s="236"/>
      <c r="X147" s="236"/>
      <c r="Y147" s="236"/>
      <c r="Z147" s="236"/>
      <c r="AA147" s="236"/>
      <c r="AB147" s="236"/>
      <c r="AC147" s="236"/>
      <c r="AD147" s="236"/>
      <c r="AE147" s="236"/>
    </row>
    <row r="148" spans="1:31" x14ac:dyDescent="0.2">
      <c r="A148" s="227"/>
      <c r="B148" s="227"/>
      <c r="C148" s="228" t="s">
        <v>407</v>
      </c>
      <c r="D148" s="229" t="s">
        <v>408</v>
      </c>
      <c r="E148" s="230" t="s">
        <v>572</v>
      </c>
      <c r="F148" s="231">
        <v>0</v>
      </c>
      <c r="G148" s="232">
        <f t="shared" si="59"/>
        <v>0</v>
      </c>
      <c r="H148" s="230" t="s">
        <v>572</v>
      </c>
      <c r="I148" s="234">
        <v>0</v>
      </c>
      <c r="J148" s="936">
        <f t="shared" si="60"/>
        <v>0</v>
      </c>
      <c r="K148" s="241">
        <f t="shared" si="67"/>
        <v>0</v>
      </c>
      <c r="L148" s="236">
        <f t="shared" si="68"/>
        <v>0</v>
      </c>
      <c r="M148" s="236"/>
      <c r="N148" s="236"/>
      <c r="O148" s="236"/>
      <c r="P148" s="236"/>
      <c r="Q148" s="236"/>
      <c r="R148" s="236"/>
      <c r="S148" s="236"/>
      <c r="T148" s="236">
        <f t="shared" si="69"/>
        <v>0</v>
      </c>
      <c r="U148" s="236"/>
      <c r="V148" s="236"/>
      <c r="W148" s="236"/>
      <c r="X148" s="236"/>
      <c r="Y148" s="236"/>
      <c r="Z148" s="236"/>
      <c r="AA148" s="236"/>
      <c r="AB148" s="236"/>
      <c r="AC148" s="236"/>
      <c r="AD148" s="236"/>
      <c r="AE148" s="236"/>
    </row>
    <row r="149" spans="1:31" x14ac:dyDescent="0.2">
      <c r="A149" s="227"/>
      <c r="B149" s="227"/>
      <c r="C149" s="228" t="s">
        <v>420</v>
      </c>
      <c r="D149" s="229" t="s">
        <v>421</v>
      </c>
      <c r="E149" s="230" t="s">
        <v>573</v>
      </c>
      <c r="F149" s="231">
        <v>2687</v>
      </c>
      <c r="G149" s="232">
        <f t="shared" si="59"/>
        <v>8.08193220440942E-2</v>
      </c>
      <c r="H149" s="230" t="s">
        <v>573</v>
      </c>
      <c r="I149" s="234">
        <v>0</v>
      </c>
      <c r="J149" s="936">
        <f t="shared" si="60"/>
        <v>0</v>
      </c>
      <c r="K149" s="241">
        <f t="shared" si="67"/>
        <v>0</v>
      </c>
      <c r="L149" s="236">
        <f t="shared" si="68"/>
        <v>0</v>
      </c>
      <c r="M149" s="236"/>
      <c r="N149" s="236"/>
      <c r="O149" s="236"/>
      <c r="P149" s="236"/>
      <c r="Q149" s="236"/>
      <c r="R149" s="236"/>
      <c r="S149" s="236"/>
      <c r="T149" s="236">
        <f t="shared" si="69"/>
        <v>0</v>
      </c>
      <c r="U149" s="236"/>
      <c r="V149" s="236"/>
      <c r="W149" s="236"/>
      <c r="X149" s="236"/>
      <c r="Y149" s="236"/>
      <c r="Z149" s="236"/>
      <c r="AA149" s="236"/>
      <c r="AB149" s="236"/>
      <c r="AC149" s="236"/>
      <c r="AD149" s="236"/>
      <c r="AE149" s="236"/>
    </row>
    <row r="150" spans="1:31" x14ac:dyDescent="0.2">
      <c r="A150" s="227"/>
      <c r="B150" s="227"/>
      <c r="C150" s="228" t="s">
        <v>410</v>
      </c>
      <c r="D150" s="229" t="s">
        <v>411</v>
      </c>
      <c r="E150" s="230" t="s">
        <v>574</v>
      </c>
      <c r="F150" s="231">
        <v>2067.0500000000002</v>
      </c>
      <c r="G150" s="232">
        <f t="shared" si="59"/>
        <v>0.1186391551397578</v>
      </c>
      <c r="H150" s="230" t="s">
        <v>574</v>
      </c>
      <c r="I150" s="234">
        <v>0</v>
      </c>
      <c r="J150" s="936">
        <f t="shared" si="60"/>
        <v>0</v>
      </c>
      <c r="K150" s="241">
        <f t="shared" si="67"/>
        <v>0</v>
      </c>
      <c r="L150" s="236">
        <f t="shared" si="68"/>
        <v>0</v>
      </c>
      <c r="M150" s="236"/>
      <c r="N150" s="236"/>
      <c r="O150" s="236"/>
      <c r="P150" s="236"/>
      <c r="Q150" s="236"/>
      <c r="R150" s="236"/>
      <c r="S150" s="236"/>
      <c r="T150" s="236">
        <f t="shared" si="69"/>
        <v>0</v>
      </c>
      <c r="U150" s="236"/>
      <c r="V150" s="236"/>
      <c r="W150" s="236"/>
      <c r="X150" s="236"/>
      <c r="Y150" s="236"/>
      <c r="Z150" s="236"/>
      <c r="AA150" s="236"/>
      <c r="AB150" s="236"/>
      <c r="AC150" s="236"/>
      <c r="AD150" s="236"/>
      <c r="AE150" s="236"/>
    </row>
    <row r="151" spans="1:31" x14ac:dyDescent="0.2">
      <c r="A151" s="227"/>
      <c r="B151" s="227"/>
      <c r="C151" s="228" t="s">
        <v>424</v>
      </c>
      <c r="D151" s="229" t="s">
        <v>425</v>
      </c>
      <c r="E151" s="230" t="s">
        <v>453</v>
      </c>
      <c r="F151" s="231">
        <v>0</v>
      </c>
      <c r="G151" s="232">
        <f t="shared" si="59"/>
        <v>0</v>
      </c>
      <c r="H151" s="230" t="s">
        <v>453</v>
      </c>
      <c r="I151" s="234">
        <v>0</v>
      </c>
      <c r="J151" s="936">
        <f t="shared" si="60"/>
        <v>0</v>
      </c>
      <c r="K151" s="241">
        <f t="shared" si="67"/>
        <v>0</v>
      </c>
      <c r="L151" s="236">
        <f t="shared" si="68"/>
        <v>0</v>
      </c>
      <c r="M151" s="236"/>
      <c r="N151" s="236"/>
      <c r="O151" s="236"/>
      <c r="P151" s="236"/>
      <c r="Q151" s="236"/>
      <c r="R151" s="236"/>
      <c r="S151" s="236"/>
      <c r="T151" s="236">
        <f t="shared" si="69"/>
        <v>0</v>
      </c>
      <c r="U151" s="236"/>
      <c r="V151" s="236"/>
      <c r="W151" s="236"/>
      <c r="X151" s="236"/>
      <c r="Y151" s="236"/>
      <c r="Z151" s="236"/>
      <c r="AA151" s="236"/>
      <c r="AB151" s="236"/>
      <c r="AC151" s="236"/>
      <c r="AD151" s="236"/>
      <c r="AE151" s="236"/>
    </row>
    <row r="152" spans="1:31" x14ac:dyDescent="0.2">
      <c r="A152" s="227"/>
      <c r="B152" s="227"/>
      <c r="C152" s="228" t="s">
        <v>413</v>
      </c>
      <c r="D152" s="229" t="s">
        <v>414</v>
      </c>
      <c r="E152" s="230" t="s">
        <v>509</v>
      </c>
      <c r="F152" s="231">
        <v>0</v>
      </c>
      <c r="G152" s="232">
        <f t="shared" si="59"/>
        <v>0</v>
      </c>
      <c r="H152" s="230" t="s">
        <v>509</v>
      </c>
      <c r="I152" s="234">
        <v>0</v>
      </c>
      <c r="J152" s="936">
        <f t="shared" si="60"/>
        <v>0</v>
      </c>
      <c r="K152" s="241">
        <f t="shared" si="67"/>
        <v>0</v>
      </c>
      <c r="L152" s="236">
        <f t="shared" si="68"/>
        <v>0</v>
      </c>
      <c r="M152" s="236"/>
      <c r="N152" s="236"/>
      <c r="O152" s="236"/>
      <c r="P152" s="236"/>
      <c r="Q152" s="236"/>
      <c r="R152" s="236"/>
      <c r="S152" s="236"/>
      <c r="T152" s="236">
        <f t="shared" si="69"/>
        <v>0</v>
      </c>
      <c r="U152" s="236"/>
      <c r="V152" s="236"/>
      <c r="W152" s="236"/>
      <c r="X152" s="236"/>
      <c r="Y152" s="236"/>
      <c r="Z152" s="236"/>
      <c r="AA152" s="236"/>
      <c r="AB152" s="236"/>
      <c r="AC152" s="236"/>
      <c r="AD152" s="236"/>
      <c r="AE152" s="236"/>
    </row>
    <row r="153" spans="1:31" x14ac:dyDescent="0.2">
      <c r="A153" s="227"/>
      <c r="B153" s="227"/>
      <c r="C153" s="228" t="s">
        <v>533</v>
      </c>
      <c r="D153" s="229" t="s">
        <v>534</v>
      </c>
      <c r="E153" s="230" t="s">
        <v>95</v>
      </c>
      <c r="F153" s="231">
        <v>490.62</v>
      </c>
      <c r="G153" s="232">
        <f t="shared" si="59"/>
        <v>0.24531</v>
      </c>
      <c r="H153" s="230" t="s">
        <v>95</v>
      </c>
      <c r="I153" s="234">
        <v>0</v>
      </c>
      <c r="J153" s="936">
        <f t="shared" si="60"/>
        <v>0</v>
      </c>
      <c r="K153" s="241">
        <f t="shared" si="67"/>
        <v>0</v>
      </c>
      <c r="L153" s="236">
        <f t="shared" si="68"/>
        <v>0</v>
      </c>
      <c r="M153" s="236"/>
      <c r="N153" s="236"/>
      <c r="O153" s="236"/>
      <c r="P153" s="236"/>
      <c r="Q153" s="236"/>
      <c r="R153" s="236"/>
      <c r="S153" s="236"/>
      <c r="T153" s="236">
        <f t="shared" si="69"/>
        <v>0</v>
      </c>
      <c r="U153" s="236"/>
      <c r="V153" s="236"/>
      <c r="W153" s="236"/>
      <c r="X153" s="236"/>
      <c r="Y153" s="236"/>
      <c r="Z153" s="236"/>
      <c r="AA153" s="236"/>
      <c r="AB153" s="236"/>
      <c r="AC153" s="236"/>
      <c r="AD153" s="236"/>
      <c r="AE153" s="236"/>
    </row>
    <row r="154" spans="1:31" ht="22.5" x14ac:dyDescent="0.2">
      <c r="A154" s="213" t="s">
        <v>131</v>
      </c>
      <c r="B154" s="213"/>
      <c r="C154" s="213"/>
      <c r="D154" s="214" t="s">
        <v>132</v>
      </c>
      <c r="E154" s="215">
        <f>E155+E158+E175+E181+E187</f>
        <v>760146.72</v>
      </c>
      <c r="F154" s="215">
        <f t="shared" ref="F154:AE154" si="70">F155+F158+F175+F181+F187</f>
        <v>491331.18999999994</v>
      </c>
      <c r="G154" s="246">
        <f t="shared" si="59"/>
        <v>0.64636362569583927</v>
      </c>
      <c r="H154" s="215">
        <f t="shared" si="70"/>
        <v>738147.43</v>
      </c>
      <c r="I154" s="217">
        <f t="shared" si="70"/>
        <v>628528.82000000007</v>
      </c>
      <c r="J154" s="938">
        <f t="shared" si="60"/>
        <v>0.82685197931262544</v>
      </c>
      <c r="K154" s="924">
        <f t="shared" si="70"/>
        <v>628528.82000000007</v>
      </c>
      <c r="L154" s="215">
        <f t="shared" si="70"/>
        <v>628528.82000000007</v>
      </c>
      <c r="M154" s="215">
        <f t="shared" si="70"/>
        <v>0</v>
      </c>
      <c r="N154" s="215">
        <f t="shared" si="70"/>
        <v>60000</v>
      </c>
      <c r="O154" s="215">
        <f t="shared" si="70"/>
        <v>13000</v>
      </c>
      <c r="P154" s="215">
        <f t="shared" si="70"/>
        <v>47648</v>
      </c>
      <c r="Q154" s="215">
        <f t="shared" si="70"/>
        <v>470200</v>
      </c>
      <c r="R154" s="218">
        <f>R155+R158+R175+R181+R187</f>
        <v>37680.82</v>
      </c>
      <c r="S154" s="215">
        <f t="shared" si="70"/>
        <v>0</v>
      </c>
      <c r="T154" s="215">
        <f t="shared" si="70"/>
        <v>0</v>
      </c>
      <c r="U154" s="215">
        <f t="shared" si="70"/>
        <v>0</v>
      </c>
      <c r="V154" s="215">
        <f t="shared" si="70"/>
        <v>0</v>
      </c>
      <c r="W154" s="215">
        <f t="shared" si="70"/>
        <v>0</v>
      </c>
      <c r="X154" s="215">
        <f t="shared" si="70"/>
        <v>0</v>
      </c>
      <c r="Y154" s="215">
        <f t="shared" si="70"/>
        <v>0</v>
      </c>
      <c r="Z154" s="215">
        <f t="shared" si="70"/>
        <v>0</v>
      </c>
      <c r="AA154" s="215">
        <f t="shared" si="70"/>
        <v>0</v>
      </c>
      <c r="AB154" s="215">
        <f t="shared" si="70"/>
        <v>0</v>
      </c>
      <c r="AC154" s="215">
        <f t="shared" si="70"/>
        <v>0</v>
      </c>
      <c r="AD154" s="215">
        <f t="shared" si="70"/>
        <v>0</v>
      </c>
      <c r="AE154" s="215">
        <f t="shared" si="70"/>
        <v>0</v>
      </c>
    </row>
    <row r="155" spans="1:31" ht="15" x14ac:dyDescent="0.2">
      <c r="A155" s="219"/>
      <c r="B155" s="220" t="s">
        <v>575</v>
      </c>
      <c r="C155" s="221"/>
      <c r="D155" s="222" t="s">
        <v>576</v>
      </c>
      <c r="E155" s="223">
        <f>E156+E157</f>
        <v>9300</v>
      </c>
      <c r="F155" s="223">
        <f t="shared" ref="F155:AE155" si="71">F156+F157</f>
        <v>9300</v>
      </c>
      <c r="G155" s="238">
        <f t="shared" si="59"/>
        <v>1</v>
      </c>
      <c r="H155" s="223">
        <f t="shared" si="71"/>
        <v>9300</v>
      </c>
      <c r="I155" s="225">
        <f t="shared" si="71"/>
        <v>0</v>
      </c>
      <c r="J155" s="937">
        <f t="shared" si="60"/>
        <v>0</v>
      </c>
      <c r="K155" s="925">
        <f t="shared" si="71"/>
        <v>0</v>
      </c>
      <c r="L155" s="223">
        <f t="shared" si="71"/>
        <v>0</v>
      </c>
      <c r="M155" s="223">
        <f t="shared" si="71"/>
        <v>0</v>
      </c>
      <c r="N155" s="223">
        <f t="shared" si="71"/>
        <v>0</v>
      </c>
      <c r="O155" s="223">
        <f t="shared" si="71"/>
        <v>0</v>
      </c>
      <c r="P155" s="223">
        <f t="shared" si="71"/>
        <v>0</v>
      </c>
      <c r="Q155" s="223">
        <f t="shared" si="71"/>
        <v>0</v>
      </c>
      <c r="R155" s="226">
        <f>R156+R157</f>
        <v>0</v>
      </c>
      <c r="S155" s="223">
        <f t="shared" si="71"/>
        <v>0</v>
      </c>
      <c r="T155" s="223">
        <f t="shared" si="71"/>
        <v>0</v>
      </c>
      <c r="U155" s="223">
        <f t="shared" si="71"/>
        <v>0</v>
      </c>
      <c r="V155" s="223">
        <f t="shared" si="71"/>
        <v>0</v>
      </c>
      <c r="W155" s="223">
        <f t="shared" si="71"/>
        <v>0</v>
      </c>
      <c r="X155" s="223">
        <f t="shared" si="71"/>
        <v>0</v>
      </c>
      <c r="Y155" s="223">
        <f t="shared" si="71"/>
        <v>0</v>
      </c>
      <c r="Z155" s="223">
        <f t="shared" si="71"/>
        <v>0</v>
      </c>
      <c r="AA155" s="223">
        <f t="shared" si="71"/>
        <v>0</v>
      </c>
      <c r="AB155" s="223">
        <f t="shared" si="71"/>
        <v>0</v>
      </c>
      <c r="AC155" s="223">
        <f t="shared" si="71"/>
        <v>0</v>
      </c>
      <c r="AD155" s="223">
        <f t="shared" si="71"/>
        <v>0</v>
      </c>
      <c r="AE155" s="223">
        <f t="shared" si="71"/>
        <v>0</v>
      </c>
    </row>
    <row r="156" spans="1:31" x14ac:dyDescent="0.2">
      <c r="A156" s="227"/>
      <c r="B156" s="227"/>
      <c r="C156" s="228" t="s">
        <v>577</v>
      </c>
      <c r="D156" s="229" t="s">
        <v>578</v>
      </c>
      <c r="E156" s="230" t="s">
        <v>579</v>
      </c>
      <c r="F156" s="231">
        <v>9300</v>
      </c>
      <c r="G156" s="232">
        <f t="shared" si="59"/>
        <v>1</v>
      </c>
      <c r="H156" s="233">
        <v>9300</v>
      </c>
      <c r="I156" s="234">
        <v>0</v>
      </c>
      <c r="J156" s="936">
        <f t="shared" si="60"/>
        <v>0</v>
      </c>
      <c r="K156" s="241">
        <f>L156+S156+T156</f>
        <v>0</v>
      </c>
      <c r="L156" s="236">
        <f>SUM(M156:R156)</f>
        <v>0</v>
      </c>
      <c r="M156" s="236"/>
      <c r="N156" s="236"/>
      <c r="O156" s="236"/>
      <c r="P156" s="236"/>
      <c r="Q156" s="236"/>
      <c r="R156" s="236"/>
      <c r="S156" s="236"/>
      <c r="T156" s="236">
        <f>SUM(U156:AD156)</f>
        <v>0</v>
      </c>
      <c r="U156" s="236"/>
      <c r="V156" s="236"/>
      <c r="W156" s="236"/>
      <c r="X156" s="236"/>
      <c r="Y156" s="236"/>
      <c r="Z156" s="236"/>
      <c r="AA156" s="236"/>
      <c r="AB156" s="236"/>
      <c r="AC156" s="236"/>
      <c r="AD156" s="236"/>
      <c r="AE156" s="236"/>
    </row>
    <row r="157" spans="1:31" ht="22.5" hidden="1" x14ac:dyDescent="0.2">
      <c r="A157" s="227"/>
      <c r="B157" s="227"/>
      <c r="C157" s="228" t="s">
        <v>580</v>
      </c>
      <c r="D157" s="229" t="s">
        <v>581</v>
      </c>
      <c r="E157" s="230" t="s">
        <v>39</v>
      </c>
      <c r="F157" s="231">
        <v>0</v>
      </c>
      <c r="G157" s="232">
        <v>0</v>
      </c>
      <c r="H157" s="233">
        <v>0</v>
      </c>
      <c r="I157" s="234">
        <v>0</v>
      </c>
      <c r="J157" s="936">
        <v>0</v>
      </c>
      <c r="K157" s="241">
        <f>L157+S157+T157</f>
        <v>0</v>
      </c>
      <c r="L157" s="236">
        <f>SUM(M157:R157)</f>
        <v>0</v>
      </c>
      <c r="M157" s="236"/>
      <c r="N157" s="236"/>
      <c r="O157" s="236"/>
      <c r="P157" s="236"/>
      <c r="Q157" s="236"/>
      <c r="R157" s="236"/>
      <c r="S157" s="236"/>
      <c r="T157" s="236">
        <f>SUM(U157:AD157)</f>
        <v>0</v>
      </c>
      <c r="U157" s="236"/>
      <c r="V157" s="236"/>
      <c r="W157" s="236"/>
      <c r="X157" s="236"/>
      <c r="Y157" s="236"/>
      <c r="Z157" s="236"/>
      <c r="AA157" s="236"/>
      <c r="AB157" s="236"/>
      <c r="AC157" s="236"/>
      <c r="AD157" s="236"/>
      <c r="AE157" s="236"/>
    </row>
    <row r="158" spans="1:31" ht="15" x14ac:dyDescent="0.2">
      <c r="A158" s="219"/>
      <c r="B158" s="220" t="s">
        <v>133</v>
      </c>
      <c r="C158" s="221"/>
      <c r="D158" s="222" t="s">
        <v>134</v>
      </c>
      <c r="E158" s="223">
        <f>E159+E160+E161+E162+E163+E164+E165+E166+E168+E169+E170+E171+E172+E173+E174+E167</f>
        <v>555916.72</v>
      </c>
      <c r="F158" s="223">
        <f t="shared" ref="F158:AE158" si="72">F159+F160+F161+F162+F163+F164+F165+F166+F168+F169+F170+F171+F172+F173+F174+F167</f>
        <v>314879.77999999997</v>
      </c>
      <c r="G158" s="224">
        <f>F158/E158</f>
        <v>0.56641537962736577</v>
      </c>
      <c r="H158" s="223">
        <f t="shared" si="72"/>
        <v>546785.72</v>
      </c>
      <c r="I158" s="248">
        <f t="shared" si="72"/>
        <v>523528.82</v>
      </c>
      <c r="J158" s="935">
        <f>I158/E158</f>
        <v>0.94173965481736188</v>
      </c>
      <c r="K158" s="926">
        <f t="shared" si="72"/>
        <v>523528.82</v>
      </c>
      <c r="L158" s="223">
        <f t="shared" si="72"/>
        <v>523528.82</v>
      </c>
      <c r="M158" s="223">
        <f t="shared" si="72"/>
        <v>0</v>
      </c>
      <c r="N158" s="223">
        <f t="shared" si="72"/>
        <v>0</v>
      </c>
      <c r="O158" s="223">
        <f t="shared" si="72"/>
        <v>0</v>
      </c>
      <c r="P158" s="223">
        <f t="shared" si="72"/>
        <v>47648</v>
      </c>
      <c r="Q158" s="223">
        <f t="shared" si="72"/>
        <v>438200</v>
      </c>
      <c r="R158" s="223">
        <f t="shared" si="72"/>
        <v>37680.82</v>
      </c>
      <c r="S158" s="223">
        <f t="shared" si="72"/>
        <v>0</v>
      </c>
      <c r="T158" s="223">
        <f t="shared" si="72"/>
        <v>0</v>
      </c>
      <c r="U158" s="223">
        <f t="shared" si="72"/>
        <v>0</v>
      </c>
      <c r="V158" s="223">
        <f t="shared" si="72"/>
        <v>0</v>
      </c>
      <c r="W158" s="223">
        <f t="shared" si="72"/>
        <v>0</v>
      </c>
      <c r="X158" s="223">
        <f t="shared" si="72"/>
        <v>0</v>
      </c>
      <c r="Y158" s="223">
        <f t="shared" si="72"/>
        <v>0</v>
      </c>
      <c r="Z158" s="223">
        <f t="shared" si="72"/>
        <v>0</v>
      </c>
      <c r="AA158" s="223">
        <f t="shared" si="72"/>
        <v>0</v>
      </c>
      <c r="AB158" s="223">
        <f t="shared" si="72"/>
        <v>0</v>
      </c>
      <c r="AC158" s="223">
        <f t="shared" si="72"/>
        <v>0</v>
      </c>
      <c r="AD158" s="223">
        <f t="shared" si="72"/>
        <v>0</v>
      </c>
      <c r="AE158" s="223">
        <f t="shared" si="72"/>
        <v>0</v>
      </c>
    </row>
    <row r="159" spans="1:31" ht="33.75" x14ac:dyDescent="0.2">
      <c r="A159" s="227"/>
      <c r="B159" s="227"/>
      <c r="C159" s="228" t="s">
        <v>430</v>
      </c>
      <c r="D159" s="229" t="s">
        <v>431</v>
      </c>
      <c r="E159" s="230" t="s">
        <v>174</v>
      </c>
      <c r="F159" s="231">
        <v>30000</v>
      </c>
      <c r="G159" s="232">
        <f t="shared" si="59"/>
        <v>1</v>
      </c>
      <c r="H159" s="233">
        <v>30000</v>
      </c>
      <c r="I159" s="249">
        <f>K159</f>
        <v>30000</v>
      </c>
      <c r="J159" s="936">
        <f t="shared" si="60"/>
        <v>1</v>
      </c>
      <c r="K159" s="241">
        <f>L159+S159+T159</f>
        <v>30000</v>
      </c>
      <c r="L159" s="236">
        <f>SUM(M159:R159)</f>
        <v>30000</v>
      </c>
      <c r="M159" s="236"/>
      <c r="N159" s="236"/>
      <c r="O159" s="236"/>
      <c r="P159" s="236"/>
      <c r="Q159" s="236">
        <v>30000</v>
      </c>
      <c r="R159" s="236"/>
      <c r="S159" s="236"/>
      <c r="T159" s="236">
        <f>SUM(U159:AD159)</f>
        <v>0</v>
      </c>
      <c r="U159" s="236"/>
      <c r="V159" s="236"/>
      <c r="W159" s="236"/>
      <c r="X159" s="236"/>
      <c r="Y159" s="236"/>
      <c r="Z159" s="236"/>
      <c r="AA159" s="236"/>
      <c r="AB159" s="236"/>
      <c r="AC159" s="236"/>
      <c r="AD159" s="236"/>
      <c r="AE159" s="236"/>
    </row>
    <row r="160" spans="1:31" x14ac:dyDescent="0.2">
      <c r="A160" s="227"/>
      <c r="B160" s="227"/>
      <c r="C160" s="228" t="s">
        <v>504</v>
      </c>
      <c r="D160" s="229" t="s">
        <v>505</v>
      </c>
      <c r="E160" s="230" t="s">
        <v>144</v>
      </c>
      <c r="F160" s="231">
        <v>42290</v>
      </c>
      <c r="G160" s="232">
        <f t="shared" si="59"/>
        <v>0.70483333333333331</v>
      </c>
      <c r="H160" s="233">
        <v>60000</v>
      </c>
      <c r="I160" s="249">
        <f t="shared" ref="I160:I174" si="73">K160</f>
        <v>60000</v>
      </c>
      <c r="J160" s="936">
        <f t="shared" si="60"/>
        <v>1</v>
      </c>
      <c r="K160" s="241">
        <f t="shared" ref="K160:K174" si="74">L160+S160+T160</f>
        <v>60000</v>
      </c>
      <c r="L160" s="236">
        <f t="shared" ref="L160:L174" si="75">SUM(M160:R160)</f>
        <v>60000</v>
      </c>
      <c r="M160" s="236"/>
      <c r="N160" s="236"/>
      <c r="O160" s="236"/>
      <c r="P160" s="236"/>
      <c r="Q160" s="236">
        <v>60000</v>
      </c>
      <c r="R160" s="236"/>
      <c r="S160" s="236"/>
      <c r="T160" s="236">
        <f t="shared" ref="T160:T174" si="76">SUM(U160:AD160)</f>
        <v>0</v>
      </c>
      <c r="U160" s="236"/>
      <c r="V160" s="236"/>
      <c r="W160" s="236"/>
      <c r="X160" s="236"/>
      <c r="Y160" s="236"/>
      <c r="Z160" s="236"/>
      <c r="AA160" s="236"/>
      <c r="AB160" s="236"/>
      <c r="AC160" s="236"/>
      <c r="AD160" s="236"/>
      <c r="AE160" s="236"/>
    </row>
    <row r="161" spans="1:31" x14ac:dyDescent="0.2">
      <c r="A161" s="227"/>
      <c r="B161" s="227"/>
      <c r="C161" s="228" t="s">
        <v>404</v>
      </c>
      <c r="D161" s="229" t="s">
        <v>405</v>
      </c>
      <c r="E161" s="230" t="s">
        <v>582</v>
      </c>
      <c r="F161" s="231">
        <v>4478.26</v>
      </c>
      <c r="G161" s="232">
        <f t="shared" si="59"/>
        <v>0.64002389588710618</v>
      </c>
      <c r="H161" s="233">
        <v>6879.25</v>
      </c>
      <c r="I161" s="249">
        <f t="shared" si="73"/>
        <v>6837.27</v>
      </c>
      <c r="J161" s="936">
        <f t="shared" si="60"/>
        <v>0.97716885188265867</v>
      </c>
      <c r="K161" s="241">
        <f t="shared" si="74"/>
        <v>6837.27</v>
      </c>
      <c r="L161" s="236">
        <f t="shared" si="75"/>
        <v>6837.27</v>
      </c>
      <c r="M161" s="236"/>
      <c r="N161" s="236"/>
      <c r="O161" s="236"/>
      <c r="P161" s="236">
        <v>6837.27</v>
      </c>
      <c r="Q161" s="236"/>
      <c r="R161" s="236"/>
      <c r="S161" s="236"/>
      <c r="T161" s="236">
        <f t="shared" si="76"/>
        <v>0</v>
      </c>
      <c r="U161" s="236"/>
      <c r="V161" s="236"/>
      <c r="W161" s="236"/>
      <c r="X161" s="236"/>
      <c r="Y161" s="236"/>
      <c r="Z161" s="236"/>
      <c r="AA161" s="236"/>
      <c r="AB161" s="236"/>
      <c r="AC161" s="236"/>
      <c r="AD161" s="236"/>
      <c r="AE161" s="236"/>
    </row>
    <row r="162" spans="1:31" x14ac:dyDescent="0.2">
      <c r="A162" s="227"/>
      <c r="B162" s="227"/>
      <c r="C162" s="228" t="s">
        <v>407</v>
      </c>
      <c r="D162" s="229" t="s">
        <v>408</v>
      </c>
      <c r="E162" s="230" t="s">
        <v>583</v>
      </c>
      <c r="F162" s="231">
        <v>589.34</v>
      </c>
      <c r="G162" s="232">
        <f t="shared" si="59"/>
        <v>0.64104683794896344</v>
      </c>
      <c r="H162" s="233">
        <v>906.11</v>
      </c>
      <c r="I162" s="249">
        <f t="shared" si="73"/>
        <v>826.73</v>
      </c>
      <c r="J162" s="936">
        <f>I162/E162</f>
        <v>0.89926468988622277</v>
      </c>
      <c r="K162" s="241">
        <f t="shared" si="74"/>
        <v>826.73</v>
      </c>
      <c r="L162" s="236">
        <f t="shared" si="75"/>
        <v>826.73</v>
      </c>
      <c r="M162" s="236"/>
      <c r="N162" s="236"/>
      <c r="O162" s="236"/>
      <c r="P162" s="236">
        <v>826.73</v>
      </c>
      <c r="Q162" s="236"/>
      <c r="R162" s="236"/>
      <c r="S162" s="236"/>
      <c r="T162" s="236">
        <f t="shared" si="76"/>
        <v>0</v>
      </c>
      <c r="U162" s="236"/>
      <c r="V162" s="236"/>
      <c r="W162" s="236"/>
      <c r="X162" s="236"/>
      <c r="Y162" s="236"/>
      <c r="Z162" s="236"/>
      <c r="AA162" s="236"/>
      <c r="AB162" s="236"/>
      <c r="AC162" s="236"/>
      <c r="AD162" s="236"/>
      <c r="AE162" s="236"/>
    </row>
    <row r="163" spans="1:31" x14ac:dyDescent="0.2">
      <c r="A163" s="227"/>
      <c r="B163" s="227"/>
      <c r="C163" s="228" t="s">
        <v>420</v>
      </c>
      <c r="D163" s="229" t="s">
        <v>421</v>
      </c>
      <c r="E163" s="230" t="s">
        <v>584</v>
      </c>
      <c r="F163" s="231">
        <v>28438.76</v>
      </c>
      <c r="G163" s="232">
        <f t="shared" si="59"/>
        <v>0.6986723663522012</v>
      </c>
      <c r="H163" s="233">
        <v>40704</v>
      </c>
      <c r="I163" s="249">
        <f t="shared" si="73"/>
        <v>39984</v>
      </c>
      <c r="J163" s="936">
        <f t="shared" si="60"/>
        <v>0.98231132075471694</v>
      </c>
      <c r="K163" s="241">
        <f t="shared" si="74"/>
        <v>39984</v>
      </c>
      <c r="L163" s="236">
        <f t="shared" si="75"/>
        <v>39984</v>
      </c>
      <c r="M163" s="236"/>
      <c r="N163" s="236"/>
      <c r="O163" s="236"/>
      <c r="P163" s="236">
        <v>39984</v>
      </c>
      <c r="Q163" s="236"/>
      <c r="R163" s="236"/>
      <c r="S163" s="236"/>
      <c r="T163" s="236">
        <f t="shared" si="76"/>
        <v>0</v>
      </c>
      <c r="U163" s="236"/>
      <c r="V163" s="236"/>
      <c r="W163" s="236"/>
      <c r="X163" s="236"/>
      <c r="Y163" s="236"/>
      <c r="Z163" s="236"/>
      <c r="AA163" s="236"/>
      <c r="AB163" s="236"/>
      <c r="AC163" s="236"/>
      <c r="AD163" s="236"/>
      <c r="AE163" s="236"/>
    </row>
    <row r="164" spans="1:31" x14ac:dyDescent="0.2">
      <c r="A164" s="227"/>
      <c r="B164" s="227"/>
      <c r="C164" s="228" t="s">
        <v>507</v>
      </c>
      <c r="D164" s="229" t="s">
        <v>508</v>
      </c>
      <c r="E164" s="230" t="s">
        <v>585</v>
      </c>
      <c r="F164" s="231">
        <v>930</v>
      </c>
      <c r="G164" s="232">
        <f t="shared" si="59"/>
        <v>1</v>
      </c>
      <c r="H164" s="233">
        <v>930</v>
      </c>
      <c r="I164" s="249">
        <f t="shared" si="73"/>
        <v>1200</v>
      </c>
      <c r="J164" s="936">
        <f t="shared" si="60"/>
        <v>1.2903225806451613</v>
      </c>
      <c r="K164" s="241">
        <f t="shared" si="74"/>
        <v>1200</v>
      </c>
      <c r="L164" s="236">
        <f t="shared" si="75"/>
        <v>1200</v>
      </c>
      <c r="M164" s="236"/>
      <c r="N164" s="236"/>
      <c r="O164" s="236"/>
      <c r="P164" s="236"/>
      <c r="Q164" s="236">
        <v>1200</v>
      </c>
      <c r="R164" s="236"/>
      <c r="S164" s="236"/>
      <c r="T164" s="236">
        <f t="shared" si="76"/>
        <v>0</v>
      </c>
      <c r="U164" s="236"/>
      <c r="V164" s="236"/>
      <c r="W164" s="236"/>
      <c r="X164" s="236"/>
      <c r="Y164" s="236"/>
      <c r="Z164" s="236"/>
      <c r="AA164" s="236"/>
      <c r="AB164" s="236"/>
      <c r="AC164" s="236"/>
      <c r="AD164" s="236"/>
      <c r="AE164" s="236"/>
    </row>
    <row r="165" spans="1:31" x14ac:dyDescent="0.2">
      <c r="A165" s="227"/>
      <c r="B165" s="227"/>
      <c r="C165" s="228" t="s">
        <v>410</v>
      </c>
      <c r="D165" s="229" t="s">
        <v>411</v>
      </c>
      <c r="E165" s="230" t="s">
        <v>586</v>
      </c>
      <c r="F165" s="231">
        <v>104637</v>
      </c>
      <c r="G165" s="232">
        <f t="shared" si="59"/>
        <v>0.56115751924368562</v>
      </c>
      <c r="H165" s="233">
        <v>186466.36</v>
      </c>
      <c r="I165" s="249">
        <f t="shared" si="73"/>
        <v>170000</v>
      </c>
      <c r="J165" s="936">
        <f t="shared" si="60"/>
        <v>0.91169259699175775</v>
      </c>
      <c r="K165" s="241">
        <f t="shared" si="74"/>
        <v>170000</v>
      </c>
      <c r="L165" s="236">
        <f t="shared" si="75"/>
        <v>170000</v>
      </c>
      <c r="M165" s="236"/>
      <c r="N165" s="236"/>
      <c r="O165" s="236"/>
      <c r="P165" s="236"/>
      <c r="Q165" s="236">
        <v>155000</v>
      </c>
      <c r="R165" s="236">
        <v>15000</v>
      </c>
      <c r="S165" s="236"/>
      <c r="T165" s="236">
        <f t="shared" si="76"/>
        <v>0</v>
      </c>
      <c r="U165" s="236"/>
      <c r="V165" s="236"/>
      <c r="W165" s="236"/>
      <c r="X165" s="236"/>
      <c r="Y165" s="236"/>
      <c r="Z165" s="236"/>
      <c r="AA165" s="236"/>
      <c r="AB165" s="236"/>
      <c r="AC165" s="236"/>
      <c r="AD165" s="236"/>
      <c r="AE165" s="236"/>
    </row>
    <row r="166" spans="1:31" x14ac:dyDescent="0.2">
      <c r="A166" s="227"/>
      <c r="B166" s="227"/>
      <c r="C166" s="228" t="s">
        <v>424</v>
      </c>
      <c r="D166" s="229" t="s">
        <v>425</v>
      </c>
      <c r="E166" s="230" t="s">
        <v>44</v>
      </c>
      <c r="F166" s="231">
        <v>24323.06</v>
      </c>
      <c r="G166" s="232">
        <f t="shared" si="59"/>
        <v>0.48646120000000004</v>
      </c>
      <c r="H166" s="233">
        <v>50000</v>
      </c>
      <c r="I166" s="249">
        <f t="shared" si="73"/>
        <v>52000</v>
      </c>
      <c r="J166" s="936">
        <f t="shared" si="60"/>
        <v>1.04</v>
      </c>
      <c r="K166" s="241">
        <f t="shared" si="74"/>
        <v>52000</v>
      </c>
      <c r="L166" s="236">
        <f t="shared" si="75"/>
        <v>52000</v>
      </c>
      <c r="M166" s="236"/>
      <c r="N166" s="236"/>
      <c r="O166" s="236"/>
      <c r="P166" s="236"/>
      <c r="Q166" s="236">
        <v>52000</v>
      </c>
      <c r="R166" s="236"/>
      <c r="S166" s="236"/>
      <c r="T166" s="236">
        <f t="shared" si="76"/>
        <v>0</v>
      </c>
      <c r="U166" s="236"/>
      <c r="V166" s="236"/>
      <c r="W166" s="236"/>
      <c r="X166" s="236"/>
      <c r="Y166" s="236"/>
      <c r="Z166" s="236"/>
      <c r="AA166" s="236"/>
      <c r="AB166" s="236"/>
      <c r="AC166" s="236"/>
      <c r="AD166" s="236"/>
      <c r="AE166" s="236"/>
    </row>
    <row r="167" spans="1:31" x14ac:dyDescent="0.2">
      <c r="A167" s="227"/>
      <c r="B167" s="227"/>
      <c r="C167" s="228" t="s">
        <v>438</v>
      </c>
      <c r="D167" s="229" t="s">
        <v>439</v>
      </c>
      <c r="E167" s="230">
        <v>0</v>
      </c>
      <c r="F167" s="231">
        <v>0</v>
      </c>
      <c r="G167" s="232">
        <v>0</v>
      </c>
      <c r="H167" s="233">
        <v>0</v>
      </c>
      <c r="I167" s="249">
        <f t="shared" si="73"/>
        <v>20000</v>
      </c>
      <c r="J167" s="936">
        <v>0</v>
      </c>
      <c r="K167" s="241">
        <f t="shared" si="74"/>
        <v>20000</v>
      </c>
      <c r="L167" s="236">
        <f t="shared" si="75"/>
        <v>20000</v>
      </c>
      <c r="M167" s="236"/>
      <c r="N167" s="236"/>
      <c r="O167" s="236"/>
      <c r="P167" s="236"/>
      <c r="Q167" s="236">
        <v>20000</v>
      </c>
      <c r="R167" s="236"/>
      <c r="S167" s="236"/>
      <c r="T167" s="236"/>
      <c r="U167" s="236"/>
      <c r="V167" s="236"/>
      <c r="W167" s="236"/>
      <c r="X167" s="236"/>
      <c r="Y167" s="236"/>
      <c r="Z167" s="236"/>
      <c r="AA167" s="236"/>
      <c r="AB167" s="236"/>
      <c r="AC167" s="236"/>
      <c r="AD167" s="236"/>
      <c r="AE167" s="236"/>
    </row>
    <row r="168" spans="1:31" x14ac:dyDescent="0.2">
      <c r="A168" s="227"/>
      <c r="B168" s="227"/>
      <c r="C168" s="228" t="s">
        <v>524</v>
      </c>
      <c r="D168" s="229" t="s">
        <v>525</v>
      </c>
      <c r="E168" s="230" t="s">
        <v>61</v>
      </c>
      <c r="F168" s="231">
        <v>3700</v>
      </c>
      <c r="G168" s="232">
        <f t="shared" si="59"/>
        <v>0.14799999999999999</v>
      </c>
      <c r="H168" s="233">
        <v>25000</v>
      </c>
      <c r="I168" s="249">
        <f t="shared" si="73"/>
        <v>15000</v>
      </c>
      <c r="J168" s="936">
        <f t="shared" si="60"/>
        <v>0.6</v>
      </c>
      <c r="K168" s="241">
        <f t="shared" si="74"/>
        <v>15000</v>
      </c>
      <c r="L168" s="236">
        <f t="shared" si="75"/>
        <v>15000</v>
      </c>
      <c r="M168" s="236"/>
      <c r="N168" s="236"/>
      <c r="O168" s="236"/>
      <c r="P168" s="236"/>
      <c r="Q168" s="236">
        <v>15000</v>
      </c>
      <c r="R168" s="236"/>
      <c r="S168" s="236"/>
      <c r="T168" s="236">
        <f t="shared" si="76"/>
        <v>0</v>
      </c>
      <c r="U168" s="236"/>
      <c r="V168" s="236"/>
      <c r="W168" s="236"/>
      <c r="X168" s="236"/>
      <c r="Y168" s="236"/>
      <c r="Z168" s="236"/>
      <c r="AA168" s="236"/>
      <c r="AB168" s="236"/>
      <c r="AC168" s="236"/>
      <c r="AD168" s="236"/>
      <c r="AE168" s="236"/>
    </row>
    <row r="169" spans="1:31" x14ac:dyDescent="0.2">
      <c r="A169" s="227"/>
      <c r="B169" s="227"/>
      <c r="C169" s="228" t="s">
        <v>413</v>
      </c>
      <c r="D169" s="229" t="s">
        <v>414</v>
      </c>
      <c r="E169" s="230" t="s">
        <v>44</v>
      </c>
      <c r="F169" s="231">
        <v>40912.17</v>
      </c>
      <c r="G169" s="232">
        <f t="shared" si="59"/>
        <v>0.81824339999999995</v>
      </c>
      <c r="H169" s="233">
        <v>50000</v>
      </c>
      <c r="I169" s="249">
        <f t="shared" si="73"/>
        <v>67680.820000000007</v>
      </c>
      <c r="J169" s="936">
        <f t="shared" si="60"/>
        <v>1.3536164000000002</v>
      </c>
      <c r="K169" s="241">
        <f t="shared" si="74"/>
        <v>67680.820000000007</v>
      </c>
      <c r="L169" s="236">
        <f t="shared" si="75"/>
        <v>67680.820000000007</v>
      </c>
      <c r="M169" s="236"/>
      <c r="N169" s="236"/>
      <c r="O169" s="236"/>
      <c r="P169" s="236"/>
      <c r="Q169" s="236">
        <v>60000</v>
      </c>
      <c r="R169" s="236">
        <v>7680.82</v>
      </c>
      <c r="S169" s="236"/>
      <c r="T169" s="236">
        <f t="shared" si="76"/>
        <v>0</v>
      </c>
      <c r="U169" s="236"/>
      <c r="V169" s="236"/>
      <c r="W169" s="236"/>
      <c r="X169" s="236"/>
      <c r="Y169" s="236"/>
      <c r="Z169" s="236"/>
      <c r="AA169" s="236"/>
      <c r="AB169" s="236"/>
      <c r="AC169" s="236"/>
      <c r="AD169" s="236"/>
      <c r="AE169" s="236"/>
    </row>
    <row r="170" spans="1:31" x14ac:dyDescent="0.2">
      <c r="A170" s="227"/>
      <c r="B170" s="227"/>
      <c r="C170" s="228" t="s">
        <v>451</v>
      </c>
      <c r="D170" s="229" t="s">
        <v>452</v>
      </c>
      <c r="E170" s="230" t="s">
        <v>557</v>
      </c>
      <c r="F170" s="231">
        <v>2022.81</v>
      </c>
      <c r="G170" s="232">
        <f t="shared" si="59"/>
        <v>0.67427000000000004</v>
      </c>
      <c r="H170" s="233">
        <v>3000</v>
      </c>
      <c r="I170" s="249">
        <f t="shared" si="73"/>
        <v>3000</v>
      </c>
      <c r="J170" s="936">
        <f t="shared" si="60"/>
        <v>1</v>
      </c>
      <c r="K170" s="241">
        <f t="shared" si="74"/>
        <v>3000</v>
      </c>
      <c r="L170" s="236">
        <f t="shared" si="75"/>
        <v>3000</v>
      </c>
      <c r="M170" s="236"/>
      <c r="N170" s="236"/>
      <c r="O170" s="236"/>
      <c r="P170" s="236"/>
      <c r="Q170" s="236">
        <v>3000</v>
      </c>
      <c r="R170" s="236"/>
      <c r="S170" s="236"/>
      <c r="T170" s="236">
        <f t="shared" si="76"/>
        <v>0</v>
      </c>
      <c r="U170" s="236"/>
      <c r="V170" s="236"/>
      <c r="W170" s="236"/>
      <c r="X170" s="236"/>
      <c r="Y170" s="236"/>
      <c r="Z170" s="236"/>
      <c r="AA170" s="236"/>
      <c r="AB170" s="236"/>
      <c r="AC170" s="236"/>
      <c r="AD170" s="236"/>
      <c r="AE170" s="236"/>
    </row>
    <row r="171" spans="1:31" x14ac:dyDescent="0.2">
      <c r="A171" s="227"/>
      <c r="B171" s="227"/>
      <c r="C171" s="228" t="s">
        <v>416</v>
      </c>
      <c r="D171" s="229" t="s">
        <v>417</v>
      </c>
      <c r="E171" s="230" t="s">
        <v>85</v>
      </c>
      <c r="F171" s="231">
        <v>22031.25</v>
      </c>
      <c r="G171" s="232">
        <f t="shared" si="59"/>
        <v>0.55078125</v>
      </c>
      <c r="H171" s="233">
        <v>40000</v>
      </c>
      <c r="I171" s="249">
        <f t="shared" si="73"/>
        <v>42000</v>
      </c>
      <c r="J171" s="936">
        <f t="shared" si="60"/>
        <v>1.05</v>
      </c>
      <c r="K171" s="241">
        <f t="shared" si="74"/>
        <v>42000</v>
      </c>
      <c r="L171" s="236">
        <f t="shared" si="75"/>
        <v>42000</v>
      </c>
      <c r="M171" s="236"/>
      <c r="N171" s="236"/>
      <c r="O171" s="236"/>
      <c r="P171" s="236"/>
      <c r="Q171" s="236">
        <v>42000</v>
      </c>
      <c r="R171" s="236"/>
      <c r="S171" s="236"/>
      <c r="T171" s="236">
        <f t="shared" si="76"/>
        <v>0</v>
      </c>
      <c r="U171" s="236"/>
      <c r="V171" s="236"/>
      <c r="W171" s="236"/>
      <c r="X171" s="236"/>
      <c r="Y171" s="236"/>
      <c r="Z171" s="236"/>
      <c r="AA171" s="236"/>
      <c r="AB171" s="236"/>
      <c r="AC171" s="236"/>
      <c r="AD171" s="236"/>
      <c r="AE171" s="236"/>
    </row>
    <row r="172" spans="1:31" x14ac:dyDescent="0.2">
      <c r="A172" s="227"/>
      <c r="B172" s="227"/>
      <c r="C172" s="228" t="s">
        <v>443</v>
      </c>
      <c r="D172" s="229" t="s">
        <v>444</v>
      </c>
      <c r="E172" s="230" t="s">
        <v>174</v>
      </c>
      <c r="F172" s="231">
        <v>10527.13</v>
      </c>
      <c r="G172" s="232">
        <f t="shared" si="59"/>
        <v>0.35090433333333332</v>
      </c>
      <c r="H172" s="233">
        <v>30000</v>
      </c>
      <c r="I172" s="249">
        <f t="shared" si="73"/>
        <v>15000</v>
      </c>
      <c r="J172" s="936">
        <f t="shared" si="60"/>
        <v>0.5</v>
      </c>
      <c r="K172" s="241">
        <f t="shared" si="74"/>
        <v>15000</v>
      </c>
      <c r="L172" s="236">
        <f t="shared" si="75"/>
        <v>15000</v>
      </c>
      <c r="M172" s="236"/>
      <c r="N172" s="236"/>
      <c r="O172" s="236"/>
      <c r="P172" s="236"/>
      <c r="Q172" s="236">
        <v>0</v>
      </c>
      <c r="R172" s="236">
        <v>15000</v>
      </c>
      <c r="S172" s="236"/>
      <c r="T172" s="236">
        <f t="shared" si="76"/>
        <v>0</v>
      </c>
      <c r="U172" s="236"/>
      <c r="V172" s="236"/>
      <c r="W172" s="236"/>
      <c r="X172" s="236"/>
      <c r="Y172" s="236"/>
      <c r="Z172" s="236"/>
      <c r="AA172" s="236"/>
      <c r="AB172" s="236"/>
      <c r="AC172" s="236"/>
      <c r="AD172" s="236"/>
      <c r="AE172" s="236"/>
    </row>
    <row r="173" spans="1:31" x14ac:dyDescent="0.2">
      <c r="A173" s="227"/>
      <c r="B173" s="227"/>
      <c r="C173" s="228" t="s">
        <v>454</v>
      </c>
      <c r="D173" s="229" t="s">
        <v>455</v>
      </c>
      <c r="E173" s="230" t="s">
        <v>587</v>
      </c>
      <c r="F173" s="231">
        <v>0</v>
      </c>
      <c r="G173" s="232">
        <f t="shared" si="59"/>
        <v>0</v>
      </c>
      <c r="H173" s="233">
        <v>22900</v>
      </c>
      <c r="I173" s="249">
        <f t="shared" si="73"/>
        <v>0</v>
      </c>
      <c r="J173" s="936">
        <f t="shared" si="60"/>
        <v>0</v>
      </c>
      <c r="K173" s="241">
        <f t="shared" si="74"/>
        <v>0</v>
      </c>
      <c r="L173" s="236">
        <f t="shared" si="75"/>
        <v>0</v>
      </c>
      <c r="M173" s="236"/>
      <c r="N173" s="236"/>
      <c r="O173" s="236"/>
      <c r="P173" s="236"/>
      <c r="Q173" s="236">
        <v>0</v>
      </c>
      <c r="R173" s="236"/>
      <c r="S173" s="236"/>
      <c r="T173" s="236">
        <f t="shared" si="76"/>
        <v>0</v>
      </c>
      <c r="U173" s="236"/>
      <c r="V173" s="236"/>
      <c r="W173" s="236"/>
      <c r="X173" s="236"/>
      <c r="Y173" s="236"/>
      <c r="Z173" s="236"/>
      <c r="AA173" s="236"/>
      <c r="AB173" s="236"/>
      <c r="AC173" s="236"/>
      <c r="AD173" s="236"/>
      <c r="AE173" s="236"/>
    </row>
    <row r="174" spans="1:31" ht="45" x14ac:dyDescent="0.2">
      <c r="A174" s="227"/>
      <c r="B174" s="227"/>
      <c r="C174" s="228" t="s">
        <v>588</v>
      </c>
      <c r="D174" s="229" t="s">
        <v>589</v>
      </c>
      <c r="E174" s="230" t="s">
        <v>509</v>
      </c>
      <c r="F174" s="231">
        <v>0</v>
      </c>
      <c r="G174" s="232">
        <f t="shared" si="59"/>
        <v>0</v>
      </c>
      <c r="H174" s="233">
        <v>0</v>
      </c>
      <c r="I174" s="249">
        <f t="shared" si="73"/>
        <v>0</v>
      </c>
      <c r="J174" s="936">
        <f t="shared" si="60"/>
        <v>0</v>
      </c>
      <c r="K174" s="241">
        <f t="shared" si="74"/>
        <v>0</v>
      </c>
      <c r="L174" s="236">
        <f t="shared" si="75"/>
        <v>0</v>
      </c>
      <c r="M174" s="236"/>
      <c r="N174" s="236"/>
      <c r="O174" s="236"/>
      <c r="P174" s="236"/>
      <c r="Q174" s="236">
        <v>0</v>
      </c>
      <c r="R174" s="236"/>
      <c r="S174" s="236"/>
      <c r="T174" s="236">
        <f t="shared" si="76"/>
        <v>0</v>
      </c>
      <c r="U174" s="236"/>
      <c r="V174" s="236"/>
      <c r="W174" s="236"/>
      <c r="X174" s="236"/>
      <c r="Y174" s="236"/>
      <c r="Z174" s="236"/>
      <c r="AA174" s="236"/>
      <c r="AB174" s="236"/>
      <c r="AC174" s="236"/>
      <c r="AD174" s="236"/>
      <c r="AE174" s="236"/>
    </row>
    <row r="175" spans="1:31" ht="15" x14ac:dyDescent="0.2">
      <c r="A175" s="219"/>
      <c r="B175" s="250" t="s">
        <v>590</v>
      </c>
      <c r="C175" s="251"/>
      <c r="D175" s="252" t="s">
        <v>591</v>
      </c>
      <c r="E175" s="253">
        <f>E176+E177+E178+E179+E180</f>
        <v>12100</v>
      </c>
      <c r="F175" s="253">
        <f t="shared" ref="F175:AE175" si="77">F176+F177+F178+F179+F180</f>
        <v>6332.4000000000005</v>
      </c>
      <c r="G175" s="254">
        <f>F175/E175</f>
        <v>0.52333884297520661</v>
      </c>
      <c r="H175" s="253">
        <f t="shared" si="77"/>
        <v>12093.62</v>
      </c>
      <c r="I175" s="255">
        <f t="shared" si="77"/>
        <v>13000</v>
      </c>
      <c r="J175" s="939">
        <f>I175/E175</f>
        <v>1.0743801652892562</v>
      </c>
      <c r="K175" s="927">
        <f t="shared" si="77"/>
        <v>13000</v>
      </c>
      <c r="L175" s="253">
        <f t="shared" si="77"/>
        <v>13000</v>
      </c>
      <c r="M175" s="253">
        <f t="shared" si="77"/>
        <v>0</v>
      </c>
      <c r="N175" s="253">
        <f t="shared" si="77"/>
        <v>0</v>
      </c>
      <c r="O175" s="253">
        <f t="shared" si="77"/>
        <v>13000</v>
      </c>
      <c r="P175" s="253">
        <f t="shared" si="77"/>
        <v>0</v>
      </c>
      <c r="Q175" s="253">
        <f t="shared" si="77"/>
        <v>0</v>
      </c>
      <c r="R175" s="253">
        <f t="shared" si="77"/>
        <v>0</v>
      </c>
      <c r="S175" s="253">
        <f t="shared" si="77"/>
        <v>0</v>
      </c>
      <c r="T175" s="253">
        <f t="shared" si="77"/>
        <v>0</v>
      </c>
      <c r="U175" s="253">
        <f t="shared" si="77"/>
        <v>0</v>
      </c>
      <c r="V175" s="253">
        <f t="shared" si="77"/>
        <v>0</v>
      </c>
      <c r="W175" s="253">
        <f t="shared" si="77"/>
        <v>0</v>
      </c>
      <c r="X175" s="253">
        <f t="shared" si="77"/>
        <v>0</v>
      </c>
      <c r="Y175" s="253">
        <f t="shared" si="77"/>
        <v>0</v>
      </c>
      <c r="Z175" s="253">
        <f t="shared" si="77"/>
        <v>0</v>
      </c>
      <c r="AA175" s="253">
        <f t="shared" si="77"/>
        <v>0</v>
      </c>
      <c r="AB175" s="253">
        <f t="shared" si="77"/>
        <v>0</v>
      </c>
      <c r="AC175" s="253">
        <f t="shared" si="77"/>
        <v>0</v>
      </c>
      <c r="AD175" s="253">
        <f t="shared" si="77"/>
        <v>0</v>
      </c>
      <c r="AE175" s="253">
        <f t="shared" si="77"/>
        <v>0</v>
      </c>
    </row>
    <row r="176" spans="1:31" x14ac:dyDescent="0.2">
      <c r="A176" s="227"/>
      <c r="B176" s="227"/>
      <c r="C176" s="228" t="s">
        <v>410</v>
      </c>
      <c r="D176" s="229" t="s">
        <v>411</v>
      </c>
      <c r="E176" s="230" t="s">
        <v>335</v>
      </c>
      <c r="F176" s="231">
        <v>1035.8800000000001</v>
      </c>
      <c r="G176" s="232">
        <f t="shared" si="59"/>
        <v>0.20717600000000003</v>
      </c>
      <c r="H176" s="233">
        <v>5000</v>
      </c>
      <c r="I176" s="234">
        <f>K176</f>
        <v>5000</v>
      </c>
      <c r="J176" s="936">
        <f t="shared" si="60"/>
        <v>1</v>
      </c>
      <c r="K176" s="241">
        <f>L176+S176+T176</f>
        <v>5000</v>
      </c>
      <c r="L176" s="236">
        <f>SUM(M176:R176)</f>
        <v>5000</v>
      </c>
      <c r="M176" s="236"/>
      <c r="N176" s="236"/>
      <c r="O176" s="236">
        <v>5000</v>
      </c>
      <c r="P176" s="236"/>
      <c r="Q176" s="236"/>
      <c r="R176" s="236"/>
      <c r="S176" s="236"/>
      <c r="T176" s="236">
        <f>SUM(U176:AD176)</f>
        <v>0</v>
      </c>
      <c r="U176" s="236"/>
      <c r="V176" s="236"/>
      <c r="W176" s="236"/>
      <c r="X176" s="236"/>
      <c r="Y176" s="236"/>
      <c r="Z176" s="236"/>
      <c r="AA176" s="236"/>
      <c r="AB176" s="236"/>
      <c r="AC176" s="236"/>
      <c r="AD176" s="236"/>
      <c r="AE176" s="236"/>
    </row>
    <row r="177" spans="1:31" x14ac:dyDescent="0.2">
      <c r="A177" s="227"/>
      <c r="B177" s="227"/>
      <c r="C177" s="228" t="s">
        <v>424</v>
      </c>
      <c r="D177" s="229" t="s">
        <v>425</v>
      </c>
      <c r="E177" s="230" t="s">
        <v>465</v>
      </c>
      <c r="F177" s="231">
        <v>996.95</v>
      </c>
      <c r="G177" s="232">
        <f t="shared" si="59"/>
        <v>0.66463333333333341</v>
      </c>
      <c r="H177" s="233">
        <v>1495.43</v>
      </c>
      <c r="I177" s="234">
        <f t="shared" ref="I177:I180" si="78">K177</f>
        <v>1700</v>
      </c>
      <c r="J177" s="936">
        <f t="shared" si="60"/>
        <v>1.1333333333333333</v>
      </c>
      <c r="K177" s="241">
        <f t="shared" ref="K177:K180" si="79">L177+S177+T177</f>
        <v>1700</v>
      </c>
      <c r="L177" s="236">
        <f>SUM(M177:R177)</f>
        <v>1700</v>
      </c>
      <c r="M177" s="236"/>
      <c r="N177" s="236"/>
      <c r="O177" s="236">
        <v>1700</v>
      </c>
      <c r="P177" s="236"/>
      <c r="Q177" s="236"/>
      <c r="R177" s="236"/>
      <c r="S177" s="236"/>
      <c r="T177" s="236">
        <f>SUM(U177:AD177)</f>
        <v>0</v>
      </c>
      <c r="U177" s="236"/>
      <c r="V177" s="236"/>
      <c r="W177" s="236"/>
      <c r="X177" s="236"/>
      <c r="Y177" s="236"/>
      <c r="Z177" s="236"/>
      <c r="AA177" s="236"/>
      <c r="AB177" s="236"/>
      <c r="AC177" s="236"/>
      <c r="AD177" s="236"/>
      <c r="AE177" s="236"/>
    </row>
    <row r="178" spans="1:31" x14ac:dyDescent="0.2">
      <c r="A178" s="227"/>
      <c r="B178" s="227"/>
      <c r="C178" s="228" t="s">
        <v>413</v>
      </c>
      <c r="D178" s="229" t="s">
        <v>414</v>
      </c>
      <c r="E178" s="230" t="s">
        <v>592</v>
      </c>
      <c r="F178" s="231">
        <v>3625.93</v>
      </c>
      <c r="G178" s="232">
        <f t="shared" si="59"/>
        <v>0.78824565217391296</v>
      </c>
      <c r="H178" s="233">
        <v>4600</v>
      </c>
      <c r="I178" s="234">
        <f t="shared" si="78"/>
        <v>5100</v>
      </c>
      <c r="J178" s="936">
        <f t="shared" si="60"/>
        <v>1.1086956521739131</v>
      </c>
      <c r="K178" s="241">
        <f t="shared" si="79"/>
        <v>5100</v>
      </c>
      <c r="L178" s="236">
        <f>SUM(M178:R178)</f>
        <v>5100</v>
      </c>
      <c r="M178" s="236"/>
      <c r="N178" s="236"/>
      <c r="O178" s="236">
        <v>5100</v>
      </c>
      <c r="P178" s="236"/>
      <c r="Q178" s="236"/>
      <c r="R178" s="236"/>
      <c r="S178" s="236"/>
      <c r="T178" s="236">
        <f>SUM(U178:AD178)</f>
        <v>0</v>
      </c>
      <c r="U178" s="236"/>
      <c r="V178" s="236"/>
      <c r="W178" s="236"/>
      <c r="X178" s="236"/>
      <c r="Y178" s="236"/>
      <c r="Z178" s="236"/>
      <c r="AA178" s="236"/>
      <c r="AB178" s="236"/>
      <c r="AC178" s="236"/>
      <c r="AD178" s="236"/>
      <c r="AE178" s="236"/>
    </row>
    <row r="179" spans="1:31" x14ac:dyDescent="0.2">
      <c r="A179" s="227"/>
      <c r="B179" s="227"/>
      <c r="C179" s="228" t="s">
        <v>451</v>
      </c>
      <c r="D179" s="229" t="s">
        <v>452</v>
      </c>
      <c r="E179" s="230" t="s">
        <v>113</v>
      </c>
      <c r="F179" s="231">
        <v>673.64</v>
      </c>
      <c r="G179" s="232">
        <f t="shared" si="59"/>
        <v>0.67364000000000002</v>
      </c>
      <c r="H179" s="233">
        <v>998.19</v>
      </c>
      <c r="I179" s="234">
        <f t="shared" si="78"/>
        <v>1200</v>
      </c>
      <c r="J179" s="936">
        <f t="shared" si="60"/>
        <v>1.2</v>
      </c>
      <c r="K179" s="241">
        <f t="shared" si="79"/>
        <v>1200</v>
      </c>
      <c r="L179" s="256">
        <f>SUM(M179:R179)</f>
        <v>1200</v>
      </c>
      <c r="M179" s="256"/>
      <c r="N179" s="256"/>
      <c r="O179" s="256">
        <v>1200</v>
      </c>
      <c r="P179" s="256"/>
      <c r="Q179" s="256"/>
      <c r="R179" s="256"/>
      <c r="S179" s="256"/>
      <c r="T179" s="256">
        <f>SUM(U179:AD179)</f>
        <v>0</v>
      </c>
      <c r="U179" s="256"/>
      <c r="V179" s="256"/>
      <c r="W179" s="256"/>
      <c r="X179" s="256"/>
      <c r="Y179" s="256"/>
      <c r="Z179" s="256"/>
      <c r="AA179" s="256"/>
      <c r="AB179" s="256"/>
      <c r="AC179" s="256"/>
      <c r="AD179" s="256"/>
      <c r="AE179" s="256"/>
    </row>
    <row r="180" spans="1:31" hidden="1" x14ac:dyDescent="0.2">
      <c r="A180" s="227"/>
      <c r="B180" s="227"/>
      <c r="C180" s="228" t="s">
        <v>454</v>
      </c>
      <c r="D180" s="229" t="s">
        <v>455</v>
      </c>
      <c r="E180" s="230">
        <v>0</v>
      </c>
      <c r="F180" s="257">
        <v>0</v>
      </c>
      <c r="G180" s="232">
        <v>0</v>
      </c>
      <c r="H180" s="257">
        <v>0</v>
      </c>
      <c r="I180" s="234">
        <f t="shared" si="78"/>
        <v>0</v>
      </c>
      <c r="J180" s="936">
        <v>0</v>
      </c>
      <c r="K180" s="241">
        <f t="shared" si="79"/>
        <v>0</v>
      </c>
      <c r="L180" s="236">
        <f>SUM(M180:R180)</f>
        <v>0</v>
      </c>
      <c r="M180" s="236"/>
      <c r="N180" s="236"/>
      <c r="O180" s="236">
        <v>0</v>
      </c>
      <c r="P180" s="236"/>
      <c r="Q180" s="236"/>
      <c r="R180" s="236"/>
      <c r="S180" s="236"/>
      <c r="T180" s="236"/>
      <c r="U180" s="236"/>
      <c r="V180" s="236"/>
      <c r="W180" s="236"/>
      <c r="X180" s="236"/>
      <c r="Y180" s="236"/>
      <c r="Z180" s="236"/>
      <c r="AA180" s="236"/>
      <c r="AB180" s="236"/>
      <c r="AC180" s="236"/>
      <c r="AD180" s="236"/>
      <c r="AE180" s="236"/>
    </row>
    <row r="181" spans="1:31" ht="15" x14ac:dyDescent="0.2">
      <c r="A181" s="219"/>
      <c r="B181" s="220" t="s">
        <v>593</v>
      </c>
      <c r="C181" s="221"/>
      <c r="D181" s="222" t="s">
        <v>594</v>
      </c>
      <c r="E181" s="223">
        <f>E182+E183+E184+E185+E186</f>
        <v>81000</v>
      </c>
      <c r="F181" s="223">
        <f t="shared" ref="F181:AE181" si="80">F182+F183+F184+F185+F186</f>
        <v>75324.98</v>
      </c>
      <c r="G181" s="238">
        <f t="shared" si="59"/>
        <v>0.929938024691358</v>
      </c>
      <c r="H181" s="223">
        <f t="shared" si="80"/>
        <v>80996.92</v>
      </c>
      <c r="I181" s="225">
        <f t="shared" si="80"/>
        <v>60000</v>
      </c>
      <c r="J181" s="937">
        <f t="shared" si="60"/>
        <v>0.7407407407407407</v>
      </c>
      <c r="K181" s="928">
        <f t="shared" si="80"/>
        <v>60000</v>
      </c>
      <c r="L181" s="258">
        <f t="shared" si="80"/>
        <v>60000</v>
      </c>
      <c r="M181" s="258">
        <f t="shared" si="80"/>
        <v>0</v>
      </c>
      <c r="N181" s="258">
        <f t="shared" si="80"/>
        <v>60000</v>
      </c>
      <c r="O181" s="258">
        <f t="shared" si="80"/>
        <v>0</v>
      </c>
      <c r="P181" s="258">
        <f t="shared" si="80"/>
        <v>0</v>
      </c>
      <c r="Q181" s="258">
        <f t="shared" si="80"/>
        <v>0</v>
      </c>
      <c r="R181" s="259">
        <f>R182+R183+R184+R185+R186</f>
        <v>0</v>
      </c>
      <c r="S181" s="258">
        <f t="shared" si="80"/>
        <v>0</v>
      </c>
      <c r="T181" s="258">
        <f t="shared" si="80"/>
        <v>0</v>
      </c>
      <c r="U181" s="258">
        <f t="shared" si="80"/>
        <v>0</v>
      </c>
      <c r="V181" s="258">
        <f t="shared" si="80"/>
        <v>0</v>
      </c>
      <c r="W181" s="258">
        <f t="shared" si="80"/>
        <v>0</v>
      </c>
      <c r="X181" s="258">
        <f t="shared" si="80"/>
        <v>0</v>
      </c>
      <c r="Y181" s="258">
        <f t="shared" si="80"/>
        <v>0</v>
      </c>
      <c r="Z181" s="258">
        <f t="shared" si="80"/>
        <v>0</v>
      </c>
      <c r="AA181" s="258">
        <f t="shared" si="80"/>
        <v>0</v>
      </c>
      <c r="AB181" s="258">
        <f t="shared" si="80"/>
        <v>0</v>
      </c>
      <c r="AC181" s="258">
        <f t="shared" si="80"/>
        <v>0</v>
      </c>
      <c r="AD181" s="258">
        <f t="shared" si="80"/>
        <v>0</v>
      </c>
      <c r="AE181" s="258">
        <f t="shared" si="80"/>
        <v>0</v>
      </c>
    </row>
    <row r="182" spans="1:31" ht="56.25" x14ac:dyDescent="0.2">
      <c r="A182" s="227"/>
      <c r="B182" s="227"/>
      <c r="C182" s="228" t="s">
        <v>109</v>
      </c>
      <c r="D182" s="229" t="s">
        <v>595</v>
      </c>
      <c r="E182" s="230" t="s">
        <v>36</v>
      </c>
      <c r="F182" s="231">
        <v>20000</v>
      </c>
      <c r="G182" s="232">
        <f t="shared" si="59"/>
        <v>1</v>
      </c>
      <c r="H182" s="233">
        <v>20000</v>
      </c>
      <c r="I182" s="234">
        <f>K182</f>
        <v>60000</v>
      </c>
      <c r="J182" s="936">
        <f t="shared" si="60"/>
        <v>3</v>
      </c>
      <c r="K182" s="241">
        <f>L182+S182+T182</f>
        <v>60000</v>
      </c>
      <c r="L182" s="236">
        <f>SUM(M182:R182)</f>
        <v>60000</v>
      </c>
      <c r="M182" s="236"/>
      <c r="N182" s="236">
        <v>60000</v>
      </c>
      <c r="O182" s="236"/>
      <c r="P182" s="236"/>
      <c r="Q182" s="236"/>
      <c r="R182" s="236"/>
      <c r="S182" s="236"/>
      <c r="T182" s="236">
        <f>SUM(U182:AD182)</f>
        <v>0</v>
      </c>
      <c r="U182" s="236"/>
      <c r="V182" s="236"/>
      <c r="W182" s="236"/>
      <c r="X182" s="236"/>
      <c r="Y182" s="236"/>
      <c r="Z182" s="236"/>
      <c r="AA182" s="236"/>
      <c r="AB182" s="236"/>
      <c r="AC182" s="236"/>
      <c r="AD182" s="236"/>
      <c r="AE182" s="236"/>
    </row>
    <row r="183" spans="1:31" x14ac:dyDescent="0.2">
      <c r="A183" s="227"/>
      <c r="B183" s="227"/>
      <c r="C183" s="228" t="s">
        <v>404</v>
      </c>
      <c r="D183" s="229" t="s">
        <v>405</v>
      </c>
      <c r="E183" s="230" t="s">
        <v>596</v>
      </c>
      <c r="F183" s="231">
        <v>1350.9</v>
      </c>
      <c r="G183" s="232">
        <f t="shared" si="59"/>
        <v>0.49959319526627222</v>
      </c>
      <c r="H183" s="233">
        <v>2701.8</v>
      </c>
      <c r="I183" s="234">
        <f t="shared" ref="I183:I186" si="81">K183</f>
        <v>0</v>
      </c>
      <c r="J183" s="936">
        <f t="shared" si="60"/>
        <v>0</v>
      </c>
      <c r="K183" s="241">
        <f t="shared" ref="K183:K186" si="82">L183+S183+T183</f>
        <v>0</v>
      </c>
      <c r="L183" s="236">
        <f>SUM(M183:R183)</f>
        <v>0</v>
      </c>
      <c r="M183" s="236"/>
      <c r="N183" s="236"/>
      <c r="O183" s="236"/>
      <c r="P183" s="236"/>
      <c r="Q183" s="236"/>
      <c r="R183" s="236"/>
      <c r="S183" s="236"/>
      <c r="T183" s="236">
        <f>SUM(U183:AD183)</f>
        <v>0</v>
      </c>
      <c r="U183" s="236"/>
      <c r="V183" s="236"/>
      <c r="W183" s="236"/>
      <c r="X183" s="236"/>
      <c r="Y183" s="236"/>
      <c r="Z183" s="236"/>
      <c r="AA183" s="236"/>
      <c r="AB183" s="236"/>
      <c r="AC183" s="236"/>
      <c r="AD183" s="236"/>
      <c r="AE183" s="236"/>
    </row>
    <row r="184" spans="1:31" x14ac:dyDescent="0.2">
      <c r="A184" s="227"/>
      <c r="B184" s="227"/>
      <c r="C184" s="228" t="s">
        <v>407</v>
      </c>
      <c r="D184" s="229" t="s">
        <v>408</v>
      </c>
      <c r="E184" s="230" t="s">
        <v>597</v>
      </c>
      <c r="F184" s="231">
        <v>193.56</v>
      </c>
      <c r="G184" s="232">
        <f t="shared" si="59"/>
        <v>0.49886597938144328</v>
      </c>
      <c r="H184" s="233">
        <v>387.12</v>
      </c>
      <c r="I184" s="234">
        <f t="shared" si="81"/>
        <v>0</v>
      </c>
      <c r="J184" s="936">
        <f t="shared" si="60"/>
        <v>0</v>
      </c>
      <c r="K184" s="241">
        <f t="shared" si="82"/>
        <v>0</v>
      </c>
      <c r="L184" s="236">
        <f>SUM(M184:R184)</f>
        <v>0</v>
      </c>
      <c r="M184" s="236"/>
      <c r="N184" s="236"/>
      <c r="O184" s="236"/>
      <c r="P184" s="236"/>
      <c r="Q184" s="236"/>
      <c r="R184" s="236"/>
      <c r="S184" s="236"/>
      <c r="T184" s="236">
        <f>SUM(U184:AD184)</f>
        <v>0</v>
      </c>
      <c r="U184" s="236"/>
      <c r="V184" s="236"/>
      <c r="W184" s="236"/>
      <c r="X184" s="236"/>
      <c r="Y184" s="236"/>
      <c r="Z184" s="236"/>
      <c r="AA184" s="236"/>
      <c r="AB184" s="236"/>
      <c r="AC184" s="236"/>
      <c r="AD184" s="236"/>
      <c r="AE184" s="236"/>
    </row>
    <row r="185" spans="1:31" x14ac:dyDescent="0.2">
      <c r="A185" s="227"/>
      <c r="B185" s="227"/>
      <c r="C185" s="228" t="s">
        <v>420</v>
      </c>
      <c r="D185" s="229" t="s">
        <v>421</v>
      </c>
      <c r="E185" s="230" t="s">
        <v>598</v>
      </c>
      <c r="F185" s="231">
        <v>41388.519999999997</v>
      </c>
      <c r="G185" s="232">
        <f t="shared" si="59"/>
        <v>0.90931804200720623</v>
      </c>
      <c r="H185" s="233">
        <v>45516</v>
      </c>
      <c r="I185" s="234">
        <f t="shared" si="81"/>
        <v>0</v>
      </c>
      <c r="J185" s="936">
        <f t="shared" si="60"/>
        <v>0</v>
      </c>
      <c r="K185" s="241">
        <f t="shared" si="82"/>
        <v>0</v>
      </c>
      <c r="L185" s="236">
        <f>SUM(M185:R185)</f>
        <v>0</v>
      </c>
      <c r="M185" s="236"/>
      <c r="N185" s="236"/>
      <c r="O185" s="236"/>
      <c r="P185" s="236"/>
      <c r="Q185" s="236"/>
      <c r="R185" s="236"/>
      <c r="S185" s="236"/>
      <c r="T185" s="236">
        <f>SUM(U185:AD185)</f>
        <v>0</v>
      </c>
      <c r="U185" s="236"/>
      <c r="V185" s="236"/>
      <c r="W185" s="236"/>
      <c r="X185" s="236"/>
      <c r="Y185" s="236"/>
      <c r="Z185" s="236"/>
      <c r="AA185" s="236"/>
      <c r="AB185" s="236"/>
      <c r="AC185" s="236"/>
      <c r="AD185" s="236"/>
      <c r="AE185" s="236"/>
    </row>
    <row r="186" spans="1:31" x14ac:dyDescent="0.2">
      <c r="A186" s="227"/>
      <c r="B186" s="227"/>
      <c r="C186" s="228" t="s">
        <v>413</v>
      </c>
      <c r="D186" s="229" t="s">
        <v>414</v>
      </c>
      <c r="E186" s="230" t="s">
        <v>599</v>
      </c>
      <c r="F186" s="231">
        <v>12392</v>
      </c>
      <c r="G186" s="232">
        <f t="shared" si="59"/>
        <v>1</v>
      </c>
      <c r="H186" s="233">
        <v>12392</v>
      </c>
      <c r="I186" s="234">
        <f t="shared" si="81"/>
        <v>0</v>
      </c>
      <c r="J186" s="936">
        <f t="shared" si="60"/>
        <v>0</v>
      </c>
      <c r="K186" s="241">
        <f t="shared" si="82"/>
        <v>0</v>
      </c>
      <c r="L186" s="236">
        <f>SUM(M186:R186)</f>
        <v>0</v>
      </c>
      <c r="M186" s="236"/>
      <c r="N186" s="236"/>
      <c r="O186" s="236"/>
      <c r="P186" s="236"/>
      <c r="Q186" s="236"/>
      <c r="R186" s="236"/>
      <c r="S186" s="236"/>
      <c r="T186" s="236">
        <f>SUM(U186:AD186)</f>
        <v>0</v>
      </c>
      <c r="U186" s="236"/>
      <c r="V186" s="236"/>
      <c r="W186" s="236"/>
      <c r="X186" s="236"/>
      <c r="Y186" s="236"/>
      <c r="Z186" s="236"/>
      <c r="AA186" s="236"/>
      <c r="AB186" s="236"/>
      <c r="AC186" s="236"/>
      <c r="AD186" s="236"/>
      <c r="AE186" s="236"/>
    </row>
    <row r="187" spans="1:31" ht="15" x14ac:dyDescent="0.2">
      <c r="A187" s="219"/>
      <c r="B187" s="220" t="s">
        <v>600</v>
      </c>
      <c r="C187" s="221"/>
      <c r="D187" s="222" t="s">
        <v>601</v>
      </c>
      <c r="E187" s="223">
        <f>E188+E189+E190+E191+E192</f>
        <v>101830</v>
      </c>
      <c r="F187" s="223">
        <f t="shared" ref="F187:AE187" si="83">F188+F189+F190+F191+F192</f>
        <v>85494.03</v>
      </c>
      <c r="G187" s="238">
        <f t="shared" si="59"/>
        <v>0.83957605813610914</v>
      </c>
      <c r="H187" s="223">
        <f t="shared" si="83"/>
        <v>88971.17</v>
      </c>
      <c r="I187" s="225">
        <f t="shared" si="83"/>
        <v>32000</v>
      </c>
      <c r="J187" s="937">
        <f t="shared" si="60"/>
        <v>0.31424923892762446</v>
      </c>
      <c r="K187" s="925">
        <f t="shared" si="83"/>
        <v>32000</v>
      </c>
      <c r="L187" s="223">
        <f t="shared" si="83"/>
        <v>32000</v>
      </c>
      <c r="M187" s="223">
        <f t="shared" si="83"/>
        <v>0</v>
      </c>
      <c r="N187" s="223">
        <f t="shared" si="83"/>
        <v>0</v>
      </c>
      <c r="O187" s="223">
        <f t="shared" si="83"/>
        <v>0</v>
      </c>
      <c r="P187" s="223">
        <f t="shared" si="83"/>
        <v>0</v>
      </c>
      <c r="Q187" s="223">
        <f t="shared" si="83"/>
        <v>32000</v>
      </c>
      <c r="R187" s="226">
        <f>R188+R189+R190+R191+R192</f>
        <v>0</v>
      </c>
      <c r="S187" s="223">
        <f t="shared" si="83"/>
        <v>0</v>
      </c>
      <c r="T187" s="223">
        <f t="shared" si="83"/>
        <v>0</v>
      </c>
      <c r="U187" s="223">
        <f t="shared" si="83"/>
        <v>0</v>
      </c>
      <c r="V187" s="223">
        <f t="shared" si="83"/>
        <v>0</v>
      </c>
      <c r="W187" s="223">
        <f t="shared" si="83"/>
        <v>0</v>
      </c>
      <c r="X187" s="223">
        <f t="shared" si="83"/>
        <v>0</v>
      </c>
      <c r="Y187" s="223">
        <f t="shared" si="83"/>
        <v>0</v>
      </c>
      <c r="Z187" s="223">
        <f t="shared" si="83"/>
        <v>0</v>
      </c>
      <c r="AA187" s="223">
        <f t="shared" si="83"/>
        <v>0</v>
      </c>
      <c r="AB187" s="223">
        <f t="shared" si="83"/>
        <v>0</v>
      </c>
      <c r="AC187" s="223">
        <f t="shared" si="83"/>
        <v>0</v>
      </c>
      <c r="AD187" s="223">
        <f t="shared" si="83"/>
        <v>0</v>
      </c>
      <c r="AE187" s="223">
        <f t="shared" si="83"/>
        <v>0</v>
      </c>
    </row>
    <row r="188" spans="1:31" x14ac:dyDescent="0.2">
      <c r="A188" s="227"/>
      <c r="B188" s="227"/>
      <c r="C188" s="228" t="s">
        <v>491</v>
      </c>
      <c r="D188" s="229" t="s">
        <v>492</v>
      </c>
      <c r="E188" s="230" t="s">
        <v>602</v>
      </c>
      <c r="F188" s="231">
        <v>7500</v>
      </c>
      <c r="G188" s="232">
        <f t="shared" si="59"/>
        <v>0.76297049847405896</v>
      </c>
      <c r="H188" s="233">
        <v>7500</v>
      </c>
      <c r="I188" s="234">
        <f>K188</f>
        <v>10500</v>
      </c>
      <c r="J188" s="936">
        <f t="shared" si="60"/>
        <v>1.0681586978636826</v>
      </c>
      <c r="K188" s="241">
        <f>L188+S188+T188</f>
        <v>10500</v>
      </c>
      <c r="L188" s="236">
        <f>SUM(M188:R188)</f>
        <v>10500</v>
      </c>
      <c r="M188" s="236"/>
      <c r="N188" s="236"/>
      <c r="O188" s="236"/>
      <c r="P188" s="236"/>
      <c r="Q188" s="236">
        <v>10500</v>
      </c>
      <c r="R188" s="236"/>
      <c r="S188" s="236"/>
      <c r="T188" s="236">
        <f>SUM(U188:AD188)</f>
        <v>0</v>
      </c>
      <c r="U188" s="236"/>
      <c r="V188" s="236"/>
      <c r="W188" s="236"/>
      <c r="X188" s="236"/>
      <c r="Y188" s="236"/>
      <c r="Z188" s="236"/>
      <c r="AA188" s="236"/>
      <c r="AB188" s="236"/>
      <c r="AC188" s="236"/>
      <c r="AD188" s="236"/>
      <c r="AE188" s="236"/>
    </row>
    <row r="189" spans="1:31" x14ac:dyDescent="0.2">
      <c r="A189" s="227"/>
      <c r="B189" s="227"/>
      <c r="C189" s="228" t="s">
        <v>410</v>
      </c>
      <c r="D189" s="229" t="s">
        <v>411</v>
      </c>
      <c r="E189" s="230" t="s">
        <v>603</v>
      </c>
      <c r="F189" s="231">
        <v>7431.43</v>
      </c>
      <c r="G189" s="232">
        <f t="shared" si="59"/>
        <v>0.46446437500000004</v>
      </c>
      <c r="H189" s="233">
        <v>10908.57</v>
      </c>
      <c r="I189" s="234">
        <f t="shared" ref="I189:I192" si="84">K189</f>
        <v>14000</v>
      </c>
      <c r="J189" s="936">
        <f t="shared" si="60"/>
        <v>0.875</v>
      </c>
      <c r="K189" s="241">
        <f t="shared" ref="K189:K192" si="85">L189+S189+T189</f>
        <v>14000</v>
      </c>
      <c r="L189" s="236">
        <f>SUM(M189:R189)</f>
        <v>14000</v>
      </c>
      <c r="M189" s="236"/>
      <c r="N189" s="236"/>
      <c r="O189" s="236"/>
      <c r="P189" s="236"/>
      <c r="Q189" s="236">
        <v>14000</v>
      </c>
      <c r="R189" s="236"/>
      <c r="S189" s="236"/>
      <c r="T189" s="236">
        <f>SUM(U189:AD189)</f>
        <v>0</v>
      </c>
      <c r="U189" s="236"/>
      <c r="V189" s="236"/>
      <c r="W189" s="236"/>
      <c r="X189" s="236"/>
      <c r="Y189" s="236"/>
      <c r="Z189" s="236"/>
      <c r="AA189" s="236"/>
      <c r="AB189" s="236"/>
      <c r="AC189" s="236"/>
      <c r="AD189" s="236"/>
      <c r="AE189" s="236"/>
    </row>
    <row r="190" spans="1:31" x14ac:dyDescent="0.2">
      <c r="A190" s="227"/>
      <c r="B190" s="227"/>
      <c r="C190" s="228" t="s">
        <v>413</v>
      </c>
      <c r="D190" s="229" t="s">
        <v>414</v>
      </c>
      <c r="E190" s="948" t="s">
        <v>95</v>
      </c>
      <c r="F190" s="946">
        <v>1886.1</v>
      </c>
      <c r="G190" s="232">
        <f t="shared" si="59"/>
        <v>0.94304999999999994</v>
      </c>
      <c r="H190" s="233">
        <v>1886.1</v>
      </c>
      <c r="I190" s="234">
        <f t="shared" si="84"/>
        <v>3500</v>
      </c>
      <c r="J190" s="936">
        <f t="shared" si="60"/>
        <v>1.75</v>
      </c>
      <c r="K190" s="241">
        <f t="shared" si="85"/>
        <v>3500</v>
      </c>
      <c r="L190" s="236">
        <f>SUM(M190:R190)</f>
        <v>3500</v>
      </c>
      <c r="M190" s="236"/>
      <c r="N190" s="236"/>
      <c r="O190" s="236"/>
      <c r="P190" s="236"/>
      <c r="Q190" s="236">
        <v>3500</v>
      </c>
      <c r="R190" s="236"/>
      <c r="S190" s="236"/>
      <c r="T190" s="236">
        <f>SUM(U190:AD190)</f>
        <v>0</v>
      </c>
      <c r="U190" s="236"/>
      <c r="V190" s="236"/>
      <c r="W190" s="236"/>
      <c r="X190" s="236"/>
      <c r="Y190" s="236"/>
      <c r="Z190" s="236"/>
      <c r="AA190" s="236"/>
      <c r="AB190" s="236"/>
      <c r="AC190" s="236"/>
      <c r="AD190" s="236"/>
      <c r="AE190" s="236"/>
    </row>
    <row r="191" spans="1:31" x14ac:dyDescent="0.2">
      <c r="A191" s="227"/>
      <c r="B191" s="227"/>
      <c r="C191" s="228" t="s">
        <v>416</v>
      </c>
      <c r="D191" s="229" t="s">
        <v>417</v>
      </c>
      <c r="E191" s="948" t="s">
        <v>351</v>
      </c>
      <c r="F191" s="946">
        <v>3578.5</v>
      </c>
      <c r="G191" s="232">
        <f t="shared" si="59"/>
        <v>0.894625</v>
      </c>
      <c r="H191" s="233">
        <v>3578.5</v>
      </c>
      <c r="I191" s="234">
        <f t="shared" si="84"/>
        <v>4000</v>
      </c>
      <c r="J191" s="936">
        <f t="shared" si="60"/>
        <v>1</v>
      </c>
      <c r="K191" s="241">
        <f t="shared" si="85"/>
        <v>4000</v>
      </c>
      <c r="L191" s="236">
        <f>SUM(M191:R191)</f>
        <v>4000</v>
      </c>
      <c r="M191" s="236"/>
      <c r="N191" s="236"/>
      <c r="O191" s="236"/>
      <c r="P191" s="236"/>
      <c r="Q191" s="236">
        <v>4000</v>
      </c>
      <c r="R191" s="236"/>
      <c r="S191" s="236"/>
      <c r="T191" s="236">
        <f>SUM(U191:AD191)</f>
        <v>0</v>
      </c>
      <c r="U191" s="236"/>
      <c r="V191" s="236"/>
      <c r="W191" s="236"/>
      <c r="X191" s="236"/>
      <c r="Y191" s="236"/>
      <c r="Z191" s="236"/>
      <c r="AA191" s="236"/>
      <c r="AB191" s="236"/>
      <c r="AC191" s="236"/>
      <c r="AD191" s="236"/>
      <c r="AE191" s="236"/>
    </row>
    <row r="192" spans="1:31" x14ac:dyDescent="0.2">
      <c r="A192" s="227"/>
      <c r="B192" s="227"/>
      <c r="C192" s="228" t="s">
        <v>454</v>
      </c>
      <c r="D192" s="229" t="s">
        <v>455</v>
      </c>
      <c r="E192" s="948" t="s">
        <v>542</v>
      </c>
      <c r="F192" s="946">
        <v>65098</v>
      </c>
      <c r="G192" s="232">
        <f t="shared" si="59"/>
        <v>0.92997142857142856</v>
      </c>
      <c r="H192" s="233">
        <v>65098</v>
      </c>
      <c r="I192" s="234">
        <f t="shared" si="84"/>
        <v>0</v>
      </c>
      <c r="J192" s="936">
        <f t="shared" si="60"/>
        <v>0</v>
      </c>
      <c r="K192" s="241">
        <f t="shared" si="85"/>
        <v>0</v>
      </c>
      <c r="L192" s="236">
        <f>SUM(M192:R192)</f>
        <v>0</v>
      </c>
      <c r="M192" s="236"/>
      <c r="N192" s="236"/>
      <c r="O192" s="236"/>
      <c r="P192" s="236"/>
      <c r="Q192" s="236">
        <v>0</v>
      </c>
      <c r="R192" s="236"/>
      <c r="S192" s="236"/>
      <c r="T192" s="236">
        <f>SUM(U192:AD192)</f>
        <v>0</v>
      </c>
      <c r="U192" s="236"/>
      <c r="V192" s="236"/>
      <c r="W192" s="236"/>
      <c r="X192" s="236"/>
      <c r="Y192" s="236"/>
      <c r="Z192" s="236"/>
      <c r="AA192" s="236"/>
      <c r="AB192" s="236"/>
      <c r="AC192" s="236"/>
      <c r="AD192" s="236"/>
      <c r="AE192" s="236"/>
    </row>
    <row r="193" spans="1:31" x14ac:dyDescent="0.2">
      <c r="A193" s="213" t="s">
        <v>604</v>
      </c>
      <c r="B193" s="213"/>
      <c r="C193" s="213"/>
      <c r="D193" s="214" t="s">
        <v>605</v>
      </c>
      <c r="E193" s="218">
        <f>E194</f>
        <v>421400</v>
      </c>
      <c r="F193" s="947">
        <f t="shared" ref="F193:AE193" si="86">F194</f>
        <v>217888.02</v>
      </c>
      <c r="G193" s="246">
        <f t="shared" si="59"/>
        <v>0.51705747508305644</v>
      </c>
      <c r="H193" s="215">
        <f t="shared" si="86"/>
        <v>342058.47</v>
      </c>
      <c r="I193" s="217">
        <f t="shared" si="86"/>
        <v>416000</v>
      </c>
      <c r="J193" s="938">
        <f t="shared" si="60"/>
        <v>0.9871855719031799</v>
      </c>
      <c r="K193" s="924">
        <f t="shared" si="86"/>
        <v>416000</v>
      </c>
      <c r="L193" s="215">
        <f t="shared" si="86"/>
        <v>416000</v>
      </c>
      <c r="M193" s="215">
        <f t="shared" si="86"/>
        <v>0</v>
      </c>
      <c r="N193" s="215">
        <f t="shared" si="86"/>
        <v>0</v>
      </c>
      <c r="O193" s="215">
        <f t="shared" si="86"/>
        <v>0</v>
      </c>
      <c r="P193" s="215">
        <f t="shared" si="86"/>
        <v>416000</v>
      </c>
      <c r="Q193" s="215">
        <f t="shared" si="86"/>
        <v>0</v>
      </c>
      <c r="R193" s="218">
        <f>R194</f>
        <v>0</v>
      </c>
      <c r="S193" s="215">
        <f t="shared" si="86"/>
        <v>0</v>
      </c>
      <c r="T193" s="215">
        <f t="shared" si="86"/>
        <v>0</v>
      </c>
      <c r="U193" s="215">
        <f t="shared" si="86"/>
        <v>0</v>
      </c>
      <c r="V193" s="215">
        <f t="shared" si="86"/>
        <v>0</v>
      </c>
      <c r="W193" s="215">
        <f t="shared" si="86"/>
        <v>0</v>
      </c>
      <c r="X193" s="215">
        <f t="shared" si="86"/>
        <v>0</v>
      </c>
      <c r="Y193" s="215">
        <f t="shared" si="86"/>
        <v>0</v>
      </c>
      <c r="Z193" s="215">
        <f t="shared" si="86"/>
        <v>0</v>
      </c>
      <c r="AA193" s="215">
        <f t="shared" si="86"/>
        <v>0</v>
      </c>
      <c r="AB193" s="215">
        <f t="shared" si="86"/>
        <v>0</v>
      </c>
      <c r="AC193" s="215">
        <f t="shared" si="86"/>
        <v>0</v>
      </c>
      <c r="AD193" s="215">
        <f t="shared" si="86"/>
        <v>0</v>
      </c>
      <c r="AE193" s="215">
        <f t="shared" si="86"/>
        <v>0</v>
      </c>
    </row>
    <row r="194" spans="1:31" ht="22.5" x14ac:dyDescent="0.2">
      <c r="A194" s="219"/>
      <c r="B194" s="220" t="s">
        <v>606</v>
      </c>
      <c r="C194" s="221"/>
      <c r="D194" s="222" t="s">
        <v>607</v>
      </c>
      <c r="E194" s="226">
        <f>E196+E195</f>
        <v>421400</v>
      </c>
      <c r="F194" s="926">
        <f>F196+F195</f>
        <v>217888.02</v>
      </c>
      <c r="G194" s="238">
        <f t="shared" si="59"/>
        <v>0.51705747508305644</v>
      </c>
      <c r="H194" s="223">
        <f>H196+H195</f>
        <v>342058.47</v>
      </c>
      <c r="I194" s="225">
        <f>I196+I195</f>
        <v>416000</v>
      </c>
      <c r="J194" s="937">
        <f t="shared" si="60"/>
        <v>0.9871855719031799</v>
      </c>
      <c r="K194" s="925">
        <f>K196+K195</f>
        <v>416000</v>
      </c>
      <c r="L194" s="260">
        <f>L196+L195</f>
        <v>416000</v>
      </c>
      <c r="M194" s="260">
        <f t="shared" ref="M194:AE194" si="87">M196</f>
        <v>0</v>
      </c>
      <c r="N194" s="260">
        <f t="shared" si="87"/>
        <v>0</v>
      </c>
      <c r="O194" s="260">
        <f t="shared" si="87"/>
        <v>0</v>
      </c>
      <c r="P194" s="260">
        <f>P195+P196</f>
        <v>416000</v>
      </c>
      <c r="Q194" s="260">
        <f t="shared" si="87"/>
        <v>0</v>
      </c>
      <c r="R194" s="261">
        <f>R196</f>
        <v>0</v>
      </c>
      <c r="S194" s="260">
        <f t="shared" si="87"/>
        <v>0</v>
      </c>
      <c r="T194" s="260">
        <f t="shared" si="87"/>
        <v>0</v>
      </c>
      <c r="U194" s="260">
        <f t="shared" si="87"/>
        <v>0</v>
      </c>
      <c r="V194" s="260">
        <f t="shared" si="87"/>
        <v>0</v>
      </c>
      <c r="W194" s="260">
        <f t="shared" si="87"/>
        <v>0</v>
      </c>
      <c r="X194" s="260">
        <f t="shared" si="87"/>
        <v>0</v>
      </c>
      <c r="Y194" s="260">
        <f t="shared" si="87"/>
        <v>0</v>
      </c>
      <c r="Z194" s="260">
        <f t="shared" si="87"/>
        <v>0</v>
      </c>
      <c r="AA194" s="260">
        <f t="shared" si="87"/>
        <v>0</v>
      </c>
      <c r="AB194" s="260">
        <f t="shared" si="87"/>
        <v>0</v>
      </c>
      <c r="AC194" s="260">
        <f t="shared" si="87"/>
        <v>0</v>
      </c>
      <c r="AD194" s="260">
        <f t="shared" si="87"/>
        <v>0</v>
      </c>
      <c r="AE194" s="260">
        <f t="shared" si="87"/>
        <v>0</v>
      </c>
    </row>
    <row r="195" spans="1:31" s="271" customFormat="1" ht="22.5" x14ac:dyDescent="0.2">
      <c r="A195" s="262"/>
      <c r="B195" s="262"/>
      <c r="C195" s="263" t="s">
        <v>608</v>
      </c>
      <c r="D195" s="264" t="s">
        <v>1039</v>
      </c>
      <c r="E195" s="949">
        <v>0</v>
      </c>
      <c r="F195" s="266">
        <v>0</v>
      </c>
      <c r="G195" s="267">
        <v>0</v>
      </c>
      <c r="H195" s="266">
        <v>0</v>
      </c>
      <c r="I195" s="268">
        <f>K195</f>
        <v>16000</v>
      </c>
      <c r="J195" s="940">
        <v>0</v>
      </c>
      <c r="K195" s="269">
        <f>L195</f>
        <v>16000</v>
      </c>
      <c r="L195" s="270">
        <f>SUM(P195)</f>
        <v>16000</v>
      </c>
      <c r="M195" s="270"/>
      <c r="N195" s="270"/>
      <c r="O195" s="270"/>
      <c r="P195" s="270">
        <v>16000</v>
      </c>
      <c r="Q195" s="270"/>
      <c r="R195" s="270"/>
      <c r="S195" s="270"/>
      <c r="T195" s="270"/>
      <c r="U195" s="270"/>
      <c r="V195" s="270"/>
      <c r="W195" s="270"/>
      <c r="X195" s="270"/>
      <c r="Y195" s="270"/>
      <c r="Z195" s="270"/>
      <c r="AA195" s="270"/>
      <c r="AB195" s="270"/>
      <c r="AC195" s="270"/>
      <c r="AD195" s="270"/>
      <c r="AE195" s="270"/>
    </row>
    <row r="196" spans="1:31" ht="33.75" x14ac:dyDescent="0.2">
      <c r="A196" s="227"/>
      <c r="B196" s="227"/>
      <c r="C196" s="228" t="s">
        <v>609</v>
      </c>
      <c r="D196" s="229" t="s">
        <v>610</v>
      </c>
      <c r="E196" s="948" t="s">
        <v>611</v>
      </c>
      <c r="F196" s="946">
        <v>217888.02</v>
      </c>
      <c r="G196" s="232">
        <f t="shared" si="59"/>
        <v>0.51705747508305644</v>
      </c>
      <c r="H196" s="233">
        <v>342058.47</v>
      </c>
      <c r="I196" s="234">
        <f>K196</f>
        <v>400000</v>
      </c>
      <c r="J196" s="936">
        <f t="shared" si="60"/>
        <v>0.94921689606074988</v>
      </c>
      <c r="K196" s="241">
        <f>L196+S196+T196</f>
        <v>400000</v>
      </c>
      <c r="L196" s="236">
        <f>SUM(M196:R196)</f>
        <v>400000</v>
      </c>
      <c r="M196" s="236"/>
      <c r="N196" s="236"/>
      <c r="O196" s="236"/>
      <c r="P196" s="236">
        <v>400000</v>
      </c>
      <c r="Q196" s="236"/>
      <c r="R196" s="236"/>
      <c r="S196" s="236"/>
      <c r="T196" s="236">
        <f>SUM(U196:AD196)</f>
        <v>0</v>
      </c>
      <c r="U196" s="236"/>
      <c r="V196" s="236"/>
      <c r="W196" s="236"/>
      <c r="X196" s="236"/>
      <c r="Y196" s="236"/>
      <c r="Z196" s="236"/>
      <c r="AA196" s="236"/>
      <c r="AB196" s="236"/>
      <c r="AC196" s="236"/>
      <c r="AD196" s="236"/>
      <c r="AE196" s="236"/>
    </row>
    <row r="197" spans="1:31" x14ac:dyDescent="0.2">
      <c r="A197" s="213" t="s">
        <v>194</v>
      </c>
      <c r="B197" s="213"/>
      <c r="C197" s="213"/>
      <c r="D197" s="214" t="s">
        <v>195</v>
      </c>
      <c r="E197" s="218">
        <f>E198+E200+E203</f>
        <v>269611.28000000003</v>
      </c>
      <c r="F197" s="947">
        <f t="shared" ref="F197:AE197" si="88">F198+F200+F203</f>
        <v>35905.57</v>
      </c>
      <c r="G197" s="246">
        <f t="shared" si="59"/>
        <v>0.13317532560210388</v>
      </c>
      <c r="H197" s="215">
        <f t="shared" si="88"/>
        <v>43867.28</v>
      </c>
      <c r="I197" s="217">
        <f t="shared" si="88"/>
        <v>310000</v>
      </c>
      <c r="J197" s="938">
        <f t="shared" si="60"/>
        <v>1.1498035245409612</v>
      </c>
      <c r="K197" s="924">
        <f t="shared" si="88"/>
        <v>310000</v>
      </c>
      <c r="L197" s="215">
        <f t="shared" si="88"/>
        <v>310000</v>
      </c>
      <c r="M197" s="215">
        <f t="shared" si="88"/>
        <v>0</v>
      </c>
      <c r="N197" s="215">
        <f t="shared" si="88"/>
        <v>0</v>
      </c>
      <c r="O197" s="215">
        <f t="shared" si="88"/>
        <v>0</v>
      </c>
      <c r="P197" s="215">
        <f t="shared" si="88"/>
        <v>310000</v>
      </c>
      <c r="Q197" s="215">
        <f t="shared" si="88"/>
        <v>0</v>
      </c>
      <c r="R197" s="218">
        <f>R198+R200+R203</f>
        <v>0</v>
      </c>
      <c r="S197" s="215">
        <f t="shared" si="88"/>
        <v>0</v>
      </c>
      <c r="T197" s="215">
        <f t="shared" si="88"/>
        <v>0</v>
      </c>
      <c r="U197" s="215">
        <f t="shared" si="88"/>
        <v>0</v>
      </c>
      <c r="V197" s="215">
        <f t="shared" si="88"/>
        <v>0</v>
      </c>
      <c r="W197" s="215">
        <f t="shared" si="88"/>
        <v>0</v>
      </c>
      <c r="X197" s="215">
        <f t="shared" si="88"/>
        <v>0</v>
      </c>
      <c r="Y197" s="215">
        <f t="shared" si="88"/>
        <v>0</v>
      </c>
      <c r="Z197" s="215">
        <f t="shared" si="88"/>
        <v>0</v>
      </c>
      <c r="AA197" s="215">
        <f t="shared" si="88"/>
        <v>0</v>
      </c>
      <c r="AB197" s="215">
        <f t="shared" si="88"/>
        <v>0</v>
      </c>
      <c r="AC197" s="215">
        <f t="shared" si="88"/>
        <v>0</v>
      </c>
      <c r="AD197" s="215">
        <f t="shared" si="88"/>
        <v>0</v>
      </c>
      <c r="AE197" s="215">
        <f t="shared" si="88"/>
        <v>0</v>
      </c>
    </row>
    <row r="198" spans="1:31" ht="22.5" x14ac:dyDescent="0.2">
      <c r="A198" s="219"/>
      <c r="B198" s="220" t="s">
        <v>196</v>
      </c>
      <c r="C198" s="221"/>
      <c r="D198" s="222" t="s">
        <v>197</v>
      </c>
      <c r="E198" s="226" t="str">
        <f>E199</f>
        <v>35 905,57</v>
      </c>
      <c r="F198" s="926">
        <f t="shared" ref="F198:AE198" si="89">F199</f>
        <v>35905.57</v>
      </c>
      <c r="G198" s="238">
        <f t="shared" si="59"/>
        <v>1</v>
      </c>
      <c r="H198" s="223">
        <f t="shared" si="89"/>
        <v>35905.57</v>
      </c>
      <c r="I198" s="225">
        <f t="shared" si="89"/>
        <v>0</v>
      </c>
      <c r="J198" s="937">
        <f t="shared" si="60"/>
        <v>0</v>
      </c>
      <c r="K198" s="925">
        <f t="shared" si="89"/>
        <v>0</v>
      </c>
      <c r="L198" s="223">
        <f t="shared" si="89"/>
        <v>0</v>
      </c>
      <c r="M198" s="223">
        <f t="shared" si="89"/>
        <v>0</v>
      </c>
      <c r="N198" s="223">
        <f t="shared" si="89"/>
        <v>0</v>
      </c>
      <c r="O198" s="223">
        <f t="shared" si="89"/>
        <v>0</v>
      </c>
      <c r="P198" s="223">
        <f t="shared" si="89"/>
        <v>0</v>
      </c>
      <c r="Q198" s="223">
        <f t="shared" si="89"/>
        <v>0</v>
      </c>
      <c r="R198" s="226">
        <f>R199</f>
        <v>0</v>
      </c>
      <c r="S198" s="223">
        <f t="shared" si="89"/>
        <v>0</v>
      </c>
      <c r="T198" s="223">
        <f t="shared" si="89"/>
        <v>0</v>
      </c>
      <c r="U198" s="223">
        <f t="shared" si="89"/>
        <v>0</v>
      </c>
      <c r="V198" s="223">
        <f t="shared" si="89"/>
        <v>0</v>
      </c>
      <c r="W198" s="223">
        <f t="shared" si="89"/>
        <v>0</v>
      </c>
      <c r="X198" s="223">
        <f t="shared" si="89"/>
        <v>0</v>
      </c>
      <c r="Y198" s="223">
        <f t="shared" si="89"/>
        <v>0</v>
      </c>
      <c r="Z198" s="223">
        <f t="shared" si="89"/>
        <v>0</v>
      </c>
      <c r="AA198" s="223">
        <f t="shared" si="89"/>
        <v>0</v>
      </c>
      <c r="AB198" s="223">
        <f t="shared" si="89"/>
        <v>0</v>
      </c>
      <c r="AC198" s="223">
        <f t="shared" si="89"/>
        <v>0</v>
      </c>
      <c r="AD198" s="223">
        <f t="shared" si="89"/>
        <v>0</v>
      </c>
      <c r="AE198" s="223">
        <f t="shared" si="89"/>
        <v>0</v>
      </c>
    </row>
    <row r="199" spans="1:31" ht="22.5" x14ac:dyDescent="0.2">
      <c r="A199" s="227"/>
      <c r="B199" s="227"/>
      <c r="C199" s="228" t="s">
        <v>612</v>
      </c>
      <c r="D199" s="229" t="s">
        <v>613</v>
      </c>
      <c r="E199" s="230" t="s">
        <v>614</v>
      </c>
      <c r="F199" s="231">
        <v>35905.57</v>
      </c>
      <c r="G199" s="232">
        <f t="shared" si="59"/>
        <v>1</v>
      </c>
      <c r="H199" s="233">
        <v>35905.57</v>
      </c>
      <c r="I199" s="234">
        <f>K199</f>
        <v>0</v>
      </c>
      <c r="J199" s="936">
        <f t="shared" si="60"/>
        <v>0</v>
      </c>
      <c r="K199" s="241">
        <f>L199+S199+T199</f>
        <v>0</v>
      </c>
      <c r="L199" s="236">
        <f>SUM(M199:R199)</f>
        <v>0</v>
      </c>
      <c r="M199" s="236"/>
      <c r="N199" s="236"/>
      <c r="O199" s="236"/>
      <c r="P199" s="236"/>
      <c r="Q199" s="236"/>
      <c r="R199" s="236"/>
      <c r="S199" s="236"/>
      <c r="T199" s="236">
        <f>SUM(U199:AD199)</f>
        <v>0</v>
      </c>
      <c r="U199" s="236"/>
      <c r="V199" s="236"/>
      <c r="W199" s="236"/>
      <c r="X199" s="236"/>
      <c r="Y199" s="236"/>
      <c r="Z199" s="236"/>
      <c r="AA199" s="236"/>
      <c r="AB199" s="236"/>
      <c r="AC199" s="236"/>
      <c r="AD199" s="236"/>
      <c r="AE199" s="236"/>
    </row>
    <row r="200" spans="1:31" ht="15" x14ac:dyDescent="0.2">
      <c r="A200" s="219"/>
      <c r="B200" s="220" t="s">
        <v>204</v>
      </c>
      <c r="C200" s="221"/>
      <c r="D200" s="222" t="s">
        <v>205</v>
      </c>
      <c r="E200" s="223">
        <f>E201+E202</f>
        <v>7961.71</v>
      </c>
      <c r="F200" s="223">
        <f t="shared" ref="F200:AE200" si="90">F201+F202</f>
        <v>0</v>
      </c>
      <c r="G200" s="238">
        <f t="shared" si="59"/>
        <v>0</v>
      </c>
      <c r="H200" s="223">
        <f t="shared" si="90"/>
        <v>7961.71</v>
      </c>
      <c r="I200" s="225">
        <f t="shared" si="90"/>
        <v>0</v>
      </c>
      <c r="J200" s="937">
        <f t="shared" si="60"/>
        <v>0</v>
      </c>
      <c r="K200" s="925">
        <f t="shared" si="90"/>
        <v>0</v>
      </c>
      <c r="L200" s="223">
        <f t="shared" si="90"/>
        <v>0</v>
      </c>
      <c r="M200" s="223">
        <f t="shared" si="90"/>
        <v>0</v>
      </c>
      <c r="N200" s="223">
        <f t="shared" si="90"/>
        <v>0</v>
      </c>
      <c r="O200" s="223">
        <f t="shared" si="90"/>
        <v>0</v>
      </c>
      <c r="P200" s="223">
        <f t="shared" si="90"/>
        <v>0</v>
      </c>
      <c r="Q200" s="223">
        <f t="shared" si="90"/>
        <v>0</v>
      </c>
      <c r="R200" s="226">
        <f>R201+R202</f>
        <v>0</v>
      </c>
      <c r="S200" s="223">
        <f t="shared" si="90"/>
        <v>0</v>
      </c>
      <c r="T200" s="223">
        <f t="shared" si="90"/>
        <v>0</v>
      </c>
      <c r="U200" s="223">
        <f t="shared" si="90"/>
        <v>0</v>
      </c>
      <c r="V200" s="223">
        <f t="shared" si="90"/>
        <v>0</v>
      </c>
      <c r="W200" s="223">
        <f t="shared" si="90"/>
        <v>0</v>
      </c>
      <c r="X200" s="223">
        <f t="shared" si="90"/>
        <v>0</v>
      </c>
      <c r="Y200" s="223">
        <f t="shared" si="90"/>
        <v>0</v>
      </c>
      <c r="Z200" s="223">
        <f t="shared" si="90"/>
        <v>0</v>
      </c>
      <c r="AA200" s="223">
        <f t="shared" si="90"/>
        <v>0</v>
      </c>
      <c r="AB200" s="223">
        <f t="shared" si="90"/>
        <v>0</v>
      </c>
      <c r="AC200" s="223">
        <f t="shared" si="90"/>
        <v>0</v>
      </c>
      <c r="AD200" s="223">
        <f t="shared" si="90"/>
        <v>0</v>
      </c>
      <c r="AE200" s="223">
        <f t="shared" si="90"/>
        <v>0</v>
      </c>
    </row>
    <row r="201" spans="1:31" x14ac:dyDescent="0.2">
      <c r="A201" s="227"/>
      <c r="B201" s="227"/>
      <c r="C201" s="228" t="s">
        <v>410</v>
      </c>
      <c r="D201" s="229" t="s">
        <v>411</v>
      </c>
      <c r="E201" s="230" t="s">
        <v>615</v>
      </c>
      <c r="F201" s="231">
        <v>0</v>
      </c>
      <c r="G201" s="232">
        <f t="shared" si="59"/>
        <v>0</v>
      </c>
      <c r="H201" s="233">
        <v>5259.71</v>
      </c>
      <c r="I201" s="234">
        <f>K201</f>
        <v>0</v>
      </c>
      <c r="J201" s="936">
        <f t="shared" si="60"/>
        <v>0</v>
      </c>
      <c r="K201" s="241">
        <f>L201+S201+T201</f>
        <v>0</v>
      </c>
      <c r="L201" s="236">
        <f>SUM(M201:R201)</f>
        <v>0</v>
      </c>
      <c r="M201" s="236"/>
      <c r="N201" s="236"/>
      <c r="O201" s="236"/>
      <c r="P201" s="236"/>
      <c r="Q201" s="236"/>
      <c r="R201" s="236"/>
      <c r="S201" s="236"/>
      <c r="T201" s="236">
        <f>SUM(U201:AD201)</f>
        <v>0</v>
      </c>
      <c r="U201" s="236"/>
      <c r="V201" s="236"/>
      <c r="W201" s="236"/>
      <c r="X201" s="236"/>
      <c r="Y201" s="236"/>
      <c r="Z201" s="236"/>
      <c r="AA201" s="236"/>
      <c r="AB201" s="236"/>
      <c r="AC201" s="236"/>
      <c r="AD201" s="236"/>
      <c r="AE201" s="236"/>
    </row>
    <row r="202" spans="1:31" x14ac:dyDescent="0.2">
      <c r="A202" s="227"/>
      <c r="B202" s="227"/>
      <c r="C202" s="228" t="s">
        <v>413</v>
      </c>
      <c r="D202" s="229" t="s">
        <v>414</v>
      </c>
      <c r="E202" s="230" t="s">
        <v>616</v>
      </c>
      <c r="F202" s="231">
        <v>0</v>
      </c>
      <c r="G202" s="232">
        <f t="shared" si="59"/>
        <v>0</v>
      </c>
      <c r="H202" s="233">
        <v>2702</v>
      </c>
      <c r="I202" s="234">
        <f>K202</f>
        <v>0</v>
      </c>
      <c r="J202" s="936">
        <f t="shared" si="60"/>
        <v>0</v>
      </c>
      <c r="K202" s="241">
        <f>L202+S202+T202</f>
        <v>0</v>
      </c>
      <c r="L202" s="236">
        <f>SUM(M202:R202)</f>
        <v>0</v>
      </c>
      <c r="M202" s="236"/>
      <c r="N202" s="236"/>
      <c r="O202" s="236"/>
      <c r="P202" s="236"/>
      <c r="Q202" s="236"/>
      <c r="R202" s="236"/>
      <c r="S202" s="236"/>
      <c r="T202" s="236">
        <f>SUM(U202:AD202)</f>
        <v>0</v>
      </c>
      <c r="U202" s="236"/>
      <c r="V202" s="236"/>
      <c r="W202" s="236"/>
      <c r="X202" s="236"/>
      <c r="Y202" s="236"/>
      <c r="Z202" s="236"/>
      <c r="AA202" s="236"/>
      <c r="AB202" s="236"/>
      <c r="AC202" s="236"/>
      <c r="AD202" s="236"/>
      <c r="AE202" s="236"/>
    </row>
    <row r="203" spans="1:31" ht="15" x14ac:dyDescent="0.2">
      <c r="A203" s="219"/>
      <c r="B203" s="220" t="s">
        <v>617</v>
      </c>
      <c r="C203" s="221"/>
      <c r="D203" s="222" t="s">
        <v>618</v>
      </c>
      <c r="E203" s="223" t="str">
        <f>E204</f>
        <v>225 744,00</v>
      </c>
      <c r="F203" s="223">
        <f t="shared" ref="F203:AE203" si="91">F204</f>
        <v>0</v>
      </c>
      <c r="G203" s="238">
        <f t="shared" ref="G203:G266" si="92">F203/E203</f>
        <v>0</v>
      </c>
      <c r="H203" s="223">
        <f t="shared" si="91"/>
        <v>0</v>
      </c>
      <c r="I203" s="225">
        <f t="shared" si="91"/>
        <v>310000</v>
      </c>
      <c r="J203" s="937">
        <f t="shared" ref="J203:J266" si="93">I203/E203</f>
        <v>1.3732369409596712</v>
      </c>
      <c r="K203" s="925">
        <f t="shared" si="91"/>
        <v>310000</v>
      </c>
      <c r="L203" s="223">
        <f t="shared" si="91"/>
        <v>310000</v>
      </c>
      <c r="M203" s="223">
        <f t="shared" si="91"/>
        <v>0</v>
      </c>
      <c r="N203" s="223">
        <f t="shared" si="91"/>
        <v>0</v>
      </c>
      <c r="O203" s="223">
        <f t="shared" si="91"/>
        <v>0</v>
      </c>
      <c r="P203" s="223">
        <f t="shared" si="91"/>
        <v>310000</v>
      </c>
      <c r="Q203" s="223">
        <f t="shared" si="91"/>
        <v>0</v>
      </c>
      <c r="R203" s="226">
        <f>R204</f>
        <v>0</v>
      </c>
      <c r="S203" s="223">
        <f t="shared" si="91"/>
        <v>0</v>
      </c>
      <c r="T203" s="223">
        <f t="shared" si="91"/>
        <v>0</v>
      </c>
      <c r="U203" s="223">
        <f t="shared" si="91"/>
        <v>0</v>
      </c>
      <c r="V203" s="223">
        <f t="shared" si="91"/>
        <v>0</v>
      </c>
      <c r="W203" s="223">
        <f t="shared" si="91"/>
        <v>0</v>
      </c>
      <c r="X203" s="223">
        <f t="shared" si="91"/>
        <v>0</v>
      </c>
      <c r="Y203" s="223">
        <f t="shared" si="91"/>
        <v>0</v>
      </c>
      <c r="Z203" s="223">
        <f t="shared" si="91"/>
        <v>0</v>
      </c>
      <c r="AA203" s="223">
        <f t="shared" si="91"/>
        <v>0</v>
      </c>
      <c r="AB203" s="223">
        <f t="shared" si="91"/>
        <v>0</v>
      </c>
      <c r="AC203" s="223">
        <f t="shared" si="91"/>
        <v>0</v>
      </c>
      <c r="AD203" s="223">
        <f t="shared" si="91"/>
        <v>0</v>
      </c>
      <c r="AE203" s="223">
        <f t="shared" si="91"/>
        <v>0</v>
      </c>
    </row>
    <row r="204" spans="1:31" x14ac:dyDescent="0.2">
      <c r="A204" s="227"/>
      <c r="B204" s="227"/>
      <c r="C204" s="228" t="s">
        <v>619</v>
      </c>
      <c r="D204" s="229" t="s">
        <v>620</v>
      </c>
      <c r="E204" s="230" t="s">
        <v>621</v>
      </c>
      <c r="F204" s="231">
        <v>0</v>
      </c>
      <c r="G204" s="232">
        <v>0</v>
      </c>
      <c r="H204" s="233">
        <v>0</v>
      </c>
      <c r="I204" s="234">
        <v>310000</v>
      </c>
      <c r="J204" s="936">
        <f t="shared" si="93"/>
        <v>1.3732369409596712</v>
      </c>
      <c r="K204" s="241">
        <f>L204+S204+T204</f>
        <v>310000</v>
      </c>
      <c r="L204" s="236">
        <f>SUM(M204:R204)</f>
        <v>310000</v>
      </c>
      <c r="M204" s="236"/>
      <c r="N204" s="236"/>
      <c r="O204" s="236"/>
      <c r="P204" s="236">
        <v>310000</v>
      </c>
      <c r="Q204" s="236"/>
      <c r="R204" s="236"/>
      <c r="S204" s="236"/>
      <c r="T204" s="236">
        <f>SUM(U204:AD204)</f>
        <v>0</v>
      </c>
      <c r="U204" s="236"/>
      <c r="V204" s="236"/>
      <c r="W204" s="236"/>
      <c r="X204" s="236"/>
      <c r="Y204" s="236"/>
      <c r="Z204" s="236"/>
      <c r="AA204" s="236"/>
      <c r="AB204" s="236"/>
      <c r="AC204" s="236"/>
      <c r="AD204" s="236"/>
      <c r="AE204" s="236"/>
    </row>
    <row r="205" spans="1:31" x14ac:dyDescent="0.2">
      <c r="A205" s="213" t="s">
        <v>229</v>
      </c>
      <c r="B205" s="213"/>
      <c r="C205" s="213"/>
      <c r="D205" s="214" t="s">
        <v>230</v>
      </c>
      <c r="E205" s="215">
        <f>E206+E228+E242+E265+E284+E286+E289+E303+E316+E329+E334+E338</f>
        <v>26926240.439999998</v>
      </c>
      <c r="F205" s="215">
        <f t="shared" ref="F205:AE205" si="94">F206+F228+F242+F265+F284+F286+F289+F303+F316+F329+F334+F338</f>
        <v>19030019.879999999</v>
      </c>
      <c r="G205" s="246">
        <f t="shared" si="92"/>
        <v>0.70674626568847498</v>
      </c>
      <c r="H205" s="215">
        <f t="shared" si="94"/>
        <v>26716100.240000002</v>
      </c>
      <c r="I205" s="217">
        <f t="shared" si="94"/>
        <v>26950083.600000001</v>
      </c>
      <c r="J205" s="938">
        <f t="shared" si="93"/>
        <v>1.0008854990377558</v>
      </c>
      <c r="K205" s="924">
        <f t="shared" si="94"/>
        <v>26950083.600000001</v>
      </c>
      <c r="L205" s="215">
        <f t="shared" si="94"/>
        <v>3203728.6</v>
      </c>
      <c r="M205" s="215">
        <f t="shared" si="94"/>
        <v>0</v>
      </c>
      <c r="N205" s="215">
        <f t="shared" si="94"/>
        <v>726289</v>
      </c>
      <c r="O205" s="215">
        <f t="shared" si="94"/>
        <v>0</v>
      </c>
      <c r="P205" s="215">
        <f t="shared" si="94"/>
        <v>2474939.6</v>
      </c>
      <c r="Q205" s="215">
        <f t="shared" si="94"/>
        <v>0</v>
      </c>
      <c r="R205" s="218">
        <f>R206+R228+R242+R265+R284+R286+R289+R303+R316+R329+R334+R338</f>
        <v>2500</v>
      </c>
      <c r="S205" s="215">
        <f t="shared" si="94"/>
        <v>0</v>
      </c>
      <c r="T205" s="215">
        <f t="shared" si="94"/>
        <v>23746355</v>
      </c>
      <c r="U205" s="215">
        <f t="shared" si="94"/>
        <v>3763765</v>
      </c>
      <c r="V205" s="215">
        <f t="shared" si="94"/>
        <v>6483837</v>
      </c>
      <c r="W205" s="215">
        <f t="shared" si="94"/>
        <v>1406396</v>
      </c>
      <c r="X205" s="215">
        <f t="shared" si="94"/>
        <v>2505536</v>
      </c>
      <c r="Y205" s="215">
        <f t="shared" si="94"/>
        <v>2283482</v>
      </c>
      <c r="Z205" s="272">
        <f t="shared" si="94"/>
        <v>1373199</v>
      </c>
      <c r="AA205" s="215">
        <f t="shared" si="94"/>
        <v>1719883</v>
      </c>
      <c r="AB205" s="215">
        <f t="shared" si="94"/>
        <v>1651113</v>
      </c>
      <c r="AC205" s="215">
        <f t="shared" si="94"/>
        <v>1450720</v>
      </c>
      <c r="AD205" s="215">
        <f t="shared" si="94"/>
        <v>1108424</v>
      </c>
      <c r="AE205" s="215">
        <f t="shared" si="94"/>
        <v>0</v>
      </c>
    </row>
    <row r="206" spans="1:31" ht="15" x14ac:dyDescent="0.2">
      <c r="A206" s="219"/>
      <c r="B206" s="220" t="s">
        <v>231</v>
      </c>
      <c r="C206" s="221"/>
      <c r="D206" s="222" t="s">
        <v>232</v>
      </c>
      <c r="E206" s="223">
        <f>E207+E208+E209+E210+E211+E212+E213+E214+E215+E216+E217+E218+E219+E220+E221+E222+E223+E224+E225+E226+E227</f>
        <v>12770674.49</v>
      </c>
      <c r="F206" s="223">
        <f t="shared" ref="F206:AE206" si="95">F207+F208+F209+F210+F211+F212+F213+F214+F215+F216+F217+F218+F219+F220+F221+F222+F223+F224+F225+F226+F227</f>
        <v>9763420.2899999972</v>
      </c>
      <c r="G206" s="238">
        <f t="shared" si="92"/>
        <v>0.76451876505388849</v>
      </c>
      <c r="H206" s="223">
        <f t="shared" si="95"/>
        <v>12769588.65</v>
      </c>
      <c r="I206" s="225">
        <f t="shared" si="95"/>
        <v>14939351</v>
      </c>
      <c r="J206" s="937">
        <f t="shared" si="93"/>
        <v>1.1698169123093827</v>
      </c>
      <c r="K206" s="925">
        <f t="shared" si="95"/>
        <v>14939351</v>
      </c>
      <c r="L206" s="223">
        <f t="shared" si="95"/>
        <v>703039</v>
      </c>
      <c r="M206" s="223">
        <f t="shared" si="95"/>
        <v>0</v>
      </c>
      <c r="N206" s="223">
        <f t="shared" si="95"/>
        <v>699789</v>
      </c>
      <c r="O206" s="223">
        <f t="shared" si="95"/>
        <v>0</v>
      </c>
      <c r="P206" s="223">
        <f t="shared" si="95"/>
        <v>3250</v>
      </c>
      <c r="Q206" s="223">
        <f t="shared" si="95"/>
        <v>0</v>
      </c>
      <c r="R206" s="226">
        <f>R207+R208+R209+R210+R211+R212+R213+R214+R215+R216+R217+R218+R219+R220+R221+R222+R223+R224+R225+R226+R227</f>
        <v>0</v>
      </c>
      <c r="S206" s="223">
        <f t="shared" si="95"/>
        <v>0</v>
      </c>
      <c r="T206" s="223">
        <f t="shared" si="95"/>
        <v>14236312</v>
      </c>
      <c r="U206" s="223">
        <f t="shared" si="95"/>
        <v>3041759</v>
      </c>
      <c r="V206" s="223">
        <f t="shared" si="95"/>
        <v>5055255</v>
      </c>
      <c r="W206" s="223">
        <f t="shared" si="95"/>
        <v>1189162</v>
      </c>
      <c r="X206" s="223">
        <f t="shared" si="95"/>
        <v>1932165</v>
      </c>
      <c r="Y206" s="223">
        <f t="shared" si="95"/>
        <v>2012391</v>
      </c>
      <c r="Z206" s="247">
        <f t="shared" si="95"/>
        <v>1005580</v>
      </c>
      <c r="AA206" s="223">
        <f t="shared" si="95"/>
        <v>0</v>
      </c>
      <c r="AB206" s="223">
        <f t="shared" si="95"/>
        <v>0</v>
      </c>
      <c r="AC206" s="223">
        <f t="shared" si="95"/>
        <v>0</v>
      </c>
      <c r="AD206" s="223">
        <f t="shared" si="95"/>
        <v>0</v>
      </c>
      <c r="AE206" s="223">
        <f t="shared" si="95"/>
        <v>0</v>
      </c>
    </row>
    <row r="207" spans="1:31" ht="33.75" x14ac:dyDescent="0.2">
      <c r="A207" s="227"/>
      <c r="B207" s="227"/>
      <c r="C207" s="228" t="s">
        <v>251</v>
      </c>
      <c r="D207" s="229" t="s">
        <v>429</v>
      </c>
      <c r="E207" s="230" t="s">
        <v>622</v>
      </c>
      <c r="F207" s="231">
        <v>2164.16</v>
      </c>
      <c r="G207" s="232">
        <f t="shared" si="92"/>
        <v>0.66589538461538456</v>
      </c>
      <c r="H207" s="233">
        <v>2164.16</v>
      </c>
      <c r="I207" s="234">
        <f>K207</f>
        <v>3250</v>
      </c>
      <c r="J207" s="936">
        <f t="shared" si="93"/>
        <v>1</v>
      </c>
      <c r="K207" s="241">
        <f>L207+S207+T207</f>
        <v>3250</v>
      </c>
      <c r="L207" s="236">
        <f>SUM(M207:R207)</f>
        <v>3250</v>
      </c>
      <c r="M207" s="236"/>
      <c r="N207" s="236"/>
      <c r="O207" s="236"/>
      <c r="P207" s="236">
        <v>3250</v>
      </c>
      <c r="Q207" s="236"/>
      <c r="R207" s="236"/>
      <c r="S207" s="236"/>
      <c r="T207" s="236">
        <f>SUM(U207:AD207)</f>
        <v>0</v>
      </c>
      <c r="U207" s="236"/>
      <c r="V207" s="236"/>
      <c r="W207" s="236"/>
      <c r="X207" s="236"/>
      <c r="Y207" s="236"/>
      <c r="Z207" s="236"/>
      <c r="AA207" s="236"/>
      <c r="AB207" s="236"/>
      <c r="AC207" s="236"/>
      <c r="AD207" s="236"/>
      <c r="AE207" s="236"/>
    </row>
    <row r="208" spans="1:31" x14ac:dyDescent="0.2">
      <c r="A208" s="227"/>
      <c r="B208" s="227"/>
      <c r="C208" s="228" t="s">
        <v>491</v>
      </c>
      <c r="D208" s="229" t="s">
        <v>492</v>
      </c>
      <c r="E208" s="230" t="s">
        <v>623</v>
      </c>
      <c r="F208" s="231">
        <v>184710.73</v>
      </c>
      <c r="G208" s="232">
        <f t="shared" si="92"/>
        <v>0.5001990389478872</v>
      </c>
      <c r="H208" s="230" t="s">
        <v>623</v>
      </c>
      <c r="I208" s="234">
        <f t="shared" ref="I208:I227" si="96">K208</f>
        <v>343844</v>
      </c>
      <c r="J208" s="936">
        <f t="shared" si="93"/>
        <v>0.93113398635800582</v>
      </c>
      <c r="K208" s="241">
        <f t="shared" ref="K208:K227" si="97">L208+S208+T208</f>
        <v>343844</v>
      </c>
      <c r="L208" s="236">
        <f t="shared" ref="L208:L227" si="98">SUM(M208:R208)</f>
        <v>0</v>
      </c>
      <c r="M208" s="236"/>
      <c r="N208" s="236"/>
      <c r="O208" s="236"/>
      <c r="P208" s="236"/>
      <c r="Q208" s="236"/>
      <c r="R208" s="236"/>
      <c r="S208" s="236"/>
      <c r="T208" s="236">
        <f t="shared" ref="T208:T227" si="99">SUM(U208:AD208)</f>
        <v>343844</v>
      </c>
      <c r="U208" s="236">
        <v>13874</v>
      </c>
      <c r="V208" s="236">
        <v>14633</v>
      </c>
      <c r="W208" s="236">
        <v>63113</v>
      </c>
      <c r="X208" s="236">
        <v>97254</v>
      </c>
      <c r="Y208" s="236">
        <v>104773</v>
      </c>
      <c r="Z208" s="236">
        <v>50197</v>
      </c>
      <c r="AA208" s="236"/>
      <c r="AB208" s="236"/>
      <c r="AC208" s="236"/>
      <c r="AD208" s="236"/>
      <c r="AE208" s="236"/>
    </row>
    <row r="209" spans="1:31" x14ac:dyDescent="0.2">
      <c r="A209" s="227"/>
      <c r="B209" s="227"/>
      <c r="C209" s="228" t="s">
        <v>401</v>
      </c>
      <c r="D209" s="229" t="s">
        <v>402</v>
      </c>
      <c r="E209" s="230" t="s">
        <v>624</v>
      </c>
      <c r="F209" s="231">
        <v>6171964.1799999997</v>
      </c>
      <c r="G209" s="232">
        <f t="shared" si="92"/>
        <v>0.7781674367223651</v>
      </c>
      <c r="H209" s="230" t="s">
        <v>624</v>
      </c>
      <c r="I209" s="234">
        <f t="shared" si="96"/>
        <v>9204700</v>
      </c>
      <c r="J209" s="936">
        <f t="shared" si="93"/>
        <v>1.1605378119349932</v>
      </c>
      <c r="K209" s="241">
        <f t="shared" si="97"/>
        <v>9204700</v>
      </c>
      <c r="L209" s="236">
        <f t="shared" si="98"/>
        <v>0</v>
      </c>
      <c r="M209" s="236"/>
      <c r="N209" s="236"/>
      <c r="O209" s="236"/>
      <c r="P209" s="236"/>
      <c r="Q209" s="236"/>
      <c r="R209" s="236"/>
      <c r="S209" s="236"/>
      <c r="T209" s="236">
        <f t="shared" si="99"/>
        <v>9204700</v>
      </c>
      <c r="U209" s="236">
        <v>2021300</v>
      </c>
      <c r="V209" s="236">
        <v>3372600</v>
      </c>
      <c r="W209" s="236">
        <v>715700</v>
      </c>
      <c r="X209" s="236">
        <v>1230300</v>
      </c>
      <c r="Y209" s="236">
        <v>1249500</v>
      </c>
      <c r="Z209" s="236">
        <v>615300</v>
      </c>
      <c r="AA209" s="236"/>
      <c r="AB209" s="236"/>
      <c r="AC209" s="236"/>
      <c r="AD209" s="236"/>
      <c r="AE209" s="236"/>
    </row>
    <row r="210" spans="1:31" x14ac:dyDescent="0.2">
      <c r="A210" s="227"/>
      <c r="B210" s="227"/>
      <c r="C210" s="228" t="s">
        <v>495</v>
      </c>
      <c r="D210" s="229" t="s">
        <v>496</v>
      </c>
      <c r="E210" s="230" t="s">
        <v>625</v>
      </c>
      <c r="F210" s="231">
        <v>551450.75</v>
      </c>
      <c r="G210" s="232">
        <f t="shared" si="92"/>
        <v>1</v>
      </c>
      <c r="H210" s="230" t="s">
        <v>625</v>
      </c>
      <c r="I210" s="234">
        <f t="shared" si="96"/>
        <v>774048</v>
      </c>
      <c r="J210" s="936">
        <f t="shared" si="93"/>
        <v>1.403657534240365</v>
      </c>
      <c r="K210" s="241">
        <f t="shared" si="97"/>
        <v>774048</v>
      </c>
      <c r="L210" s="236">
        <f t="shared" si="98"/>
        <v>0</v>
      </c>
      <c r="M210" s="236"/>
      <c r="N210" s="236"/>
      <c r="O210" s="236"/>
      <c r="P210" s="236"/>
      <c r="Q210" s="236"/>
      <c r="R210" s="236"/>
      <c r="S210" s="236"/>
      <c r="T210" s="236">
        <f t="shared" si="99"/>
        <v>774048</v>
      </c>
      <c r="U210" s="236">
        <v>170330</v>
      </c>
      <c r="V210" s="236">
        <v>266172</v>
      </c>
      <c r="W210" s="236">
        <v>63550</v>
      </c>
      <c r="X210" s="236">
        <v>102706</v>
      </c>
      <c r="Y210" s="236">
        <v>108710</v>
      </c>
      <c r="Z210" s="236">
        <v>62580</v>
      </c>
      <c r="AA210" s="236"/>
      <c r="AB210" s="236"/>
      <c r="AC210" s="236"/>
      <c r="AD210" s="236"/>
      <c r="AE210" s="236"/>
    </row>
    <row r="211" spans="1:31" x14ac:dyDescent="0.2">
      <c r="A211" s="227"/>
      <c r="B211" s="227"/>
      <c r="C211" s="228" t="s">
        <v>404</v>
      </c>
      <c r="D211" s="229" t="s">
        <v>405</v>
      </c>
      <c r="E211" s="230" t="s">
        <v>626</v>
      </c>
      <c r="F211" s="231">
        <v>1132328.3400000001</v>
      </c>
      <c r="G211" s="232">
        <f t="shared" si="92"/>
        <v>0.75451986936997872</v>
      </c>
      <c r="H211" s="230" t="s">
        <v>626</v>
      </c>
      <c r="I211" s="234">
        <f t="shared" si="96"/>
        <v>1728366</v>
      </c>
      <c r="J211" s="936">
        <f t="shared" si="93"/>
        <v>1.151685816274379</v>
      </c>
      <c r="K211" s="241">
        <f t="shared" si="97"/>
        <v>1728366</v>
      </c>
      <c r="L211" s="236">
        <f t="shared" si="98"/>
        <v>0</v>
      </c>
      <c r="M211" s="236"/>
      <c r="N211" s="236"/>
      <c r="O211" s="236"/>
      <c r="P211" s="236"/>
      <c r="Q211" s="236"/>
      <c r="R211" s="236"/>
      <c r="S211" s="236"/>
      <c r="T211" s="236">
        <f t="shared" si="99"/>
        <v>1728366</v>
      </c>
      <c r="U211" s="236">
        <v>371564</v>
      </c>
      <c r="V211" s="236">
        <v>607628</v>
      </c>
      <c r="W211" s="236">
        <v>143061</v>
      </c>
      <c r="X211" s="236">
        <v>234083</v>
      </c>
      <c r="Y211" s="236">
        <v>247135</v>
      </c>
      <c r="Z211" s="236">
        <v>124895</v>
      </c>
      <c r="AA211" s="236"/>
      <c r="AB211" s="236"/>
      <c r="AC211" s="236"/>
      <c r="AD211" s="236"/>
      <c r="AE211" s="236"/>
    </row>
    <row r="212" spans="1:31" x14ac:dyDescent="0.2">
      <c r="A212" s="227"/>
      <c r="B212" s="227"/>
      <c r="C212" s="228" t="s">
        <v>407</v>
      </c>
      <c r="D212" s="229" t="s">
        <v>408</v>
      </c>
      <c r="E212" s="230" t="s">
        <v>627</v>
      </c>
      <c r="F212" s="231">
        <v>130735.86</v>
      </c>
      <c r="G212" s="232">
        <f t="shared" si="92"/>
        <v>0.62328481595018903</v>
      </c>
      <c r="H212" s="230" t="s">
        <v>627</v>
      </c>
      <c r="I212" s="234">
        <f t="shared" si="96"/>
        <v>246604</v>
      </c>
      <c r="J212" s="936">
        <f t="shared" si="93"/>
        <v>1.1756875944563367</v>
      </c>
      <c r="K212" s="241">
        <f t="shared" si="97"/>
        <v>246604</v>
      </c>
      <c r="L212" s="236">
        <f t="shared" si="98"/>
        <v>0</v>
      </c>
      <c r="M212" s="236"/>
      <c r="N212" s="236"/>
      <c r="O212" s="236"/>
      <c r="P212" s="236"/>
      <c r="Q212" s="236"/>
      <c r="R212" s="236"/>
      <c r="S212" s="236"/>
      <c r="T212" s="236">
        <f t="shared" si="99"/>
        <v>246604</v>
      </c>
      <c r="U212" s="236">
        <v>52957</v>
      </c>
      <c r="V212" s="236">
        <v>86602</v>
      </c>
      <c r="W212" s="236">
        <v>20390</v>
      </c>
      <c r="X212" s="236">
        <v>33538</v>
      </c>
      <c r="Y212" s="236">
        <v>35223</v>
      </c>
      <c r="Z212" s="236">
        <v>17894</v>
      </c>
      <c r="AA212" s="236"/>
      <c r="AB212" s="236"/>
      <c r="AC212" s="236"/>
      <c r="AD212" s="236"/>
      <c r="AE212" s="236"/>
    </row>
    <row r="213" spans="1:31" x14ac:dyDescent="0.2">
      <c r="A213" s="227"/>
      <c r="B213" s="227"/>
      <c r="C213" s="228" t="s">
        <v>420</v>
      </c>
      <c r="D213" s="229" t="s">
        <v>421</v>
      </c>
      <c r="E213" s="230" t="s">
        <v>628</v>
      </c>
      <c r="F213" s="231">
        <v>26246.3</v>
      </c>
      <c r="G213" s="232">
        <f t="shared" si="92"/>
        <v>0.47968235982162438</v>
      </c>
      <c r="H213" s="230" t="s">
        <v>628</v>
      </c>
      <c r="I213" s="234">
        <f t="shared" si="96"/>
        <v>56552</v>
      </c>
      <c r="J213" s="936">
        <f t="shared" si="93"/>
        <v>1.0335550844359969</v>
      </c>
      <c r="K213" s="241">
        <f t="shared" si="97"/>
        <v>56552</v>
      </c>
      <c r="L213" s="236">
        <f t="shared" si="98"/>
        <v>0</v>
      </c>
      <c r="M213" s="236"/>
      <c r="N213" s="236"/>
      <c r="O213" s="236"/>
      <c r="P213" s="236"/>
      <c r="Q213" s="236"/>
      <c r="R213" s="236"/>
      <c r="S213" s="236"/>
      <c r="T213" s="236">
        <f t="shared" si="99"/>
        <v>56552</v>
      </c>
      <c r="U213" s="236">
        <v>14964</v>
      </c>
      <c r="V213" s="236">
        <v>22604</v>
      </c>
      <c r="W213" s="236">
        <v>3664</v>
      </c>
      <c r="X213" s="236">
        <v>5328</v>
      </c>
      <c r="Y213" s="236">
        <v>6992</v>
      </c>
      <c r="Z213" s="236">
        <v>3000</v>
      </c>
      <c r="AA213" s="236"/>
      <c r="AB213" s="236"/>
      <c r="AC213" s="236"/>
      <c r="AD213" s="236"/>
      <c r="AE213" s="236"/>
    </row>
    <row r="214" spans="1:31" x14ac:dyDescent="0.2">
      <c r="A214" s="227"/>
      <c r="B214" s="227"/>
      <c r="C214" s="228" t="s">
        <v>410</v>
      </c>
      <c r="D214" s="229" t="s">
        <v>411</v>
      </c>
      <c r="E214" s="230" t="s">
        <v>629</v>
      </c>
      <c r="F214" s="231">
        <v>238675.14</v>
      </c>
      <c r="G214" s="232">
        <f t="shared" si="92"/>
        <v>0.59750942546000751</v>
      </c>
      <c r="H214" s="230" t="s">
        <v>629</v>
      </c>
      <c r="I214" s="234">
        <f t="shared" si="96"/>
        <v>342850</v>
      </c>
      <c r="J214" s="936">
        <f t="shared" si="93"/>
        <v>0.85830516960821124</v>
      </c>
      <c r="K214" s="241">
        <f t="shared" si="97"/>
        <v>342850</v>
      </c>
      <c r="L214" s="236">
        <f t="shared" si="98"/>
        <v>0</v>
      </c>
      <c r="M214" s="236"/>
      <c r="N214" s="236"/>
      <c r="O214" s="236"/>
      <c r="P214" s="236"/>
      <c r="Q214" s="236"/>
      <c r="R214" s="236"/>
      <c r="S214" s="236"/>
      <c r="T214" s="236">
        <f t="shared" si="99"/>
        <v>342850</v>
      </c>
      <c r="U214" s="236">
        <f>103250-5000-4000-22000</f>
        <v>72250</v>
      </c>
      <c r="V214" s="236">
        <v>80000</v>
      </c>
      <c r="W214" s="236">
        <v>54800</v>
      </c>
      <c r="X214" s="236">
        <v>60000</v>
      </c>
      <c r="Y214" s="236">
        <v>55800</v>
      </c>
      <c r="Z214" s="236">
        <v>20000</v>
      </c>
      <c r="AA214" s="236"/>
      <c r="AB214" s="236"/>
      <c r="AC214" s="236"/>
      <c r="AD214" s="236"/>
      <c r="AE214" s="236"/>
    </row>
    <row r="215" spans="1:31" x14ac:dyDescent="0.2">
      <c r="A215" s="227"/>
      <c r="B215" s="227"/>
      <c r="C215" s="228" t="s">
        <v>630</v>
      </c>
      <c r="D215" s="229" t="s">
        <v>631</v>
      </c>
      <c r="E215" s="230" t="s">
        <v>632</v>
      </c>
      <c r="F215" s="231">
        <v>118260.85</v>
      </c>
      <c r="G215" s="232">
        <f t="shared" si="92"/>
        <v>0.8792628252788105</v>
      </c>
      <c r="H215" s="230" t="s">
        <v>632</v>
      </c>
      <c r="I215" s="234">
        <f t="shared" si="96"/>
        <v>38500</v>
      </c>
      <c r="J215" s="936">
        <f t="shared" si="93"/>
        <v>0.28624535315985128</v>
      </c>
      <c r="K215" s="241">
        <f t="shared" si="97"/>
        <v>38500</v>
      </c>
      <c r="L215" s="236">
        <f t="shared" si="98"/>
        <v>0</v>
      </c>
      <c r="M215" s="236"/>
      <c r="N215" s="236"/>
      <c r="O215" s="236"/>
      <c r="P215" s="236"/>
      <c r="Q215" s="236"/>
      <c r="R215" s="236"/>
      <c r="S215" s="236"/>
      <c r="T215" s="236">
        <f t="shared" si="99"/>
        <v>38500</v>
      </c>
      <c r="U215" s="236">
        <v>6500</v>
      </c>
      <c r="V215" s="236">
        <v>7000</v>
      </c>
      <c r="W215" s="236">
        <v>4000</v>
      </c>
      <c r="X215" s="236">
        <v>10000</v>
      </c>
      <c r="Y215" s="236">
        <v>5000</v>
      </c>
      <c r="Z215" s="236">
        <v>6000</v>
      </c>
      <c r="AA215" s="236"/>
      <c r="AB215" s="236"/>
      <c r="AC215" s="236"/>
      <c r="AD215" s="236"/>
      <c r="AE215" s="236"/>
    </row>
    <row r="216" spans="1:31" x14ac:dyDescent="0.2">
      <c r="A216" s="227"/>
      <c r="B216" s="227"/>
      <c r="C216" s="228" t="s">
        <v>424</v>
      </c>
      <c r="D216" s="229" t="s">
        <v>425</v>
      </c>
      <c r="E216" s="230" t="s">
        <v>633</v>
      </c>
      <c r="F216" s="231">
        <v>272490.84999999998</v>
      </c>
      <c r="G216" s="232">
        <f t="shared" si="92"/>
        <v>0.67281691358024687</v>
      </c>
      <c r="H216" s="230" t="s">
        <v>633</v>
      </c>
      <c r="I216" s="234">
        <f t="shared" si="96"/>
        <v>405500</v>
      </c>
      <c r="J216" s="936">
        <f t="shared" si="93"/>
        <v>1.0012345679012347</v>
      </c>
      <c r="K216" s="241">
        <f t="shared" si="97"/>
        <v>405500</v>
      </c>
      <c r="L216" s="236">
        <f t="shared" si="98"/>
        <v>0</v>
      </c>
      <c r="M216" s="236"/>
      <c r="N216" s="236"/>
      <c r="O216" s="236"/>
      <c r="P216" s="236"/>
      <c r="Q216" s="236"/>
      <c r="R216" s="236"/>
      <c r="S216" s="236"/>
      <c r="T216" s="236">
        <f t="shared" si="99"/>
        <v>405500</v>
      </c>
      <c r="U216" s="236">
        <v>77000</v>
      </c>
      <c r="V216" s="236">
        <v>260000</v>
      </c>
      <c r="W216" s="236">
        <v>8000</v>
      </c>
      <c r="X216" s="236">
        <v>24000</v>
      </c>
      <c r="Y216" s="236">
        <v>23000</v>
      </c>
      <c r="Z216" s="236">
        <v>13500</v>
      </c>
      <c r="AA216" s="236"/>
      <c r="AB216" s="236"/>
      <c r="AC216" s="236"/>
      <c r="AD216" s="236"/>
      <c r="AE216" s="236"/>
    </row>
    <row r="217" spans="1:31" x14ac:dyDescent="0.2">
      <c r="A217" s="227"/>
      <c r="B217" s="227"/>
      <c r="C217" s="228" t="s">
        <v>438</v>
      </c>
      <c r="D217" s="229" t="s">
        <v>439</v>
      </c>
      <c r="E217" s="230" t="s">
        <v>634</v>
      </c>
      <c r="F217" s="231">
        <v>227456.58</v>
      </c>
      <c r="G217" s="232">
        <f t="shared" si="92"/>
        <v>0.6454017963244062</v>
      </c>
      <c r="H217" s="230" t="s">
        <v>634</v>
      </c>
      <c r="I217" s="234">
        <f t="shared" si="96"/>
        <v>132473</v>
      </c>
      <c r="J217" s="936">
        <f t="shared" si="93"/>
        <v>0.37588849777167604</v>
      </c>
      <c r="K217" s="241">
        <f t="shared" si="97"/>
        <v>132473</v>
      </c>
      <c r="L217" s="236">
        <f t="shared" si="98"/>
        <v>0</v>
      </c>
      <c r="M217" s="236"/>
      <c r="N217" s="236"/>
      <c r="O217" s="236"/>
      <c r="P217" s="236"/>
      <c r="Q217" s="236"/>
      <c r="R217" s="236"/>
      <c r="S217" s="236"/>
      <c r="T217" s="236">
        <f t="shared" si="99"/>
        <v>132473</v>
      </c>
      <c r="U217" s="236">
        <f>96000-70000-11000-11000</f>
        <v>4000</v>
      </c>
      <c r="V217" s="236">
        <f>50173+75000-75000-32300</f>
        <v>17873</v>
      </c>
      <c r="W217" s="236">
        <v>31500</v>
      </c>
      <c r="X217" s="236">
        <v>20000</v>
      </c>
      <c r="Y217" s="236">
        <v>42100</v>
      </c>
      <c r="Z217" s="236">
        <v>17000</v>
      </c>
      <c r="AA217" s="236"/>
      <c r="AB217" s="236"/>
      <c r="AC217" s="236"/>
      <c r="AD217" s="236"/>
      <c r="AE217" s="236"/>
    </row>
    <row r="218" spans="1:31" x14ac:dyDescent="0.2">
      <c r="A218" s="227"/>
      <c r="B218" s="227"/>
      <c r="C218" s="228" t="s">
        <v>524</v>
      </c>
      <c r="D218" s="229" t="s">
        <v>525</v>
      </c>
      <c r="E218" s="230" t="s">
        <v>635</v>
      </c>
      <c r="F218" s="231">
        <v>11994</v>
      </c>
      <c r="G218" s="232">
        <f t="shared" si="92"/>
        <v>0.52147826086956517</v>
      </c>
      <c r="H218" s="230" t="s">
        <v>635</v>
      </c>
      <c r="I218" s="234">
        <f t="shared" si="96"/>
        <v>25340</v>
      </c>
      <c r="J218" s="936">
        <f t="shared" si="93"/>
        <v>1.1017391304347826</v>
      </c>
      <c r="K218" s="241">
        <f t="shared" si="97"/>
        <v>25340</v>
      </c>
      <c r="L218" s="236">
        <f t="shared" si="98"/>
        <v>0</v>
      </c>
      <c r="M218" s="236"/>
      <c r="N218" s="236"/>
      <c r="O218" s="236"/>
      <c r="P218" s="236"/>
      <c r="Q218" s="236"/>
      <c r="R218" s="236"/>
      <c r="S218" s="236"/>
      <c r="T218" s="236">
        <f t="shared" si="99"/>
        <v>25340</v>
      </c>
      <c r="U218" s="236">
        <v>4000</v>
      </c>
      <c r="V218" s="236">
        <v>12000</v>
      </c>
      <c r="W218" s="236">
        <v>0</v>
      </c>
      <c r="X218" s="236">
        <v>2500</v>
      </c>
      <c r="Y218" s="236">
        <v>5340</v>
      </c>
      <c r="Z218" s="236">
        <v>1500</v>
      </c>
      <c r="AA218" s="236"/>
      <c r="AB218" s="236"/>
      <c r="AC218" s="236"/>
      <c r="AD218" s="236"/>
      <c r="AE218" s="236"/>
    </row>
    <row r="219" spans="1:31" x14ac:dyDescent="0.2">
      <c r="A219" s="227"/>
      <c r="B219" s="227"/>
      <c r="C219" s="228" t="s">
        <v>413</v>
      </c>
      <c r="D219" s="229" t="s">
        <v>414</v>
      </c>
      <c r="E219" s="230" t="s">
        <v>636</v>
      </c>
      <c r="F219" s="231">
        <v>177085.49</v>
      </c>
      <c r="G219" s="232">
        <f t="shared" si="92"/>
        <v>0.82595844216417902</v>
      </c>
      <c r="H219" s="230" t="s">
        <v>636</v>
      </c>
      <c r="I219" s="234">
        <f t="shared" si="96"/>
        <v>229200</v>
      </c>
      <c r="J219" s="936">
        <f t="shared" si="93"/>
        <v>1.0690298507462686</v>
      </c>
      <c r="K219" s="241">
        <f t="shared" si="97"/>
        <v>229200</v>
      </c>
      <c r="L219" s="236">
        <f t="shared" si="98"/>
        <v>0</v>
      </c>
      <c r="M219" s="236"/>
      <c r="N219" s="236"/>
      <c r="O219" s="236"/>
      <c r="P219" s="236"/>
      <c r="Q219" s="236"/>
      <c r="R219" s="236"/>
      <c r="S219" s="236"/>
      <c r="T219" s="236">
        <f t="shared" si="99"/>
        <v>229200</v>
      </c>
      <c r="U219" s="236">
        <v>40800</v>
      </c>
      <c r="V219" s="236">
        <v>78000</v>
      </c>
      <c r="W219" s="236">
        <v>23000</v>
      </c>
      <c r="X219" s="236">
        <v>25000</v>
      </c>
      <c r="Y219" s="236">
        <v>48000</v>
      </c>
      <c r="Z219" s="236">
        <v>14400</v>
      </c>
      <c r="AA219" s="236"/>
      <c r="AB219" s="236"/>
      <c r="AC219" s="236"/>
      <c r="AD219" s="236"/>
      <c r="AE219" s="236"/>
    </row>
    <row r="220" spans="1:31" ht="22.5" x14ac:dyDescent="0.2">
      <c r="A220" s="227"/>
      <c r="B220" s="227"/>
      <c r="C220" s="228" t="s">
        <v>637</v>
      </c>
      <c r="D220" s="229" t="s">
        <v>638</v>
      </c>
      <c r="E220" s="230" t="s">
        <v>174</v>
      </c>
      <c r="F220" s="231">
        <v>4687.53</v>
      </c>
      <c r="G220" s="232">
        <f t="shared" si="92"/>
        <v>0.156251</v>
      </c>
      <c r="H220" s="230" t="s">
        <v>174</v>
      </c>
      <c r="I220" s="234">
        <f t="shared" si="96"/>
        <v>82500</v>
      </c>
      <c r="J220" s="936">
        <f t="shared" si="93"/>
        <v>2.75</v>
      </c>
      <c r="K220" s="241">
        <f t="shared" si="97"/>
        <v>82500</v>
      </c>
      <c r="L220" s="236">
        <f t="shared" si="98"/>
        <v>0</v>
      </c>
      <c r="M220" s="236"/>
      <c r="N220" s="236"/>
      <c r="O220" s="236"/>
      <c r="P220" s="236"/>
      <c r="Q220" s="236"/>
      <c r="R220" s="236"/>
      <c r="S220" s="236"/>
      <c r="T220" s="236">
        <f t="shared" si="99"/>
        <v>82500</v>
      </c>
      <c r="U220" s="236">
        <v>55000</v>
      </c>
      <c r="V220" s="236">
        <v>27500</v>
      </c>
      <c r="W220" s="236">
        <v>0</v>
      </c>
      <c r="X220" s="236">
        <v>0</v>
      </c>
      <c r="Y220" s="236">
        <v>0</v>
      </c>
      <c r="Z220" s="236">
        <v>0</v>
      </c>
      <c r="AA220" s="236"/>
      <c r="AB220" s="236"/>
      <c r="AC220" s="236"/>
      <c r="AD220" s="236"/>
      <c r="AE220" s="236"/>
    </row>
    <row r="221" spans="1:31" x14ac:dyDescent="0.2">
      <c r="A221" s="227"/>
      <c r="B221" s="227"/>
      <c r="C221" s="228" t="s">
        <v>451</v>
      </c>
      <c r="D221" s="229" t="s">
        <v>452</v>
      </c>
      <c r="E221" s="230" t="s">
        <v>639</v>
      </c>
      <c r="F221" s="231">
        <v>26851.37</v>
      </c>
      <c r="G221" s="232">
        <f t="shared" si="92"/>
        <v>0.65941478388998032</v>
      </c>
      <c r="H221" s="230" t="s">
        <v>639</v>
      </c>
      <c r="I221" s="234">
        <f t="shared" si="96"/>
        <v>41220</v>
      </c>
      <c r="J221" s="936">
        <f t="shared" si="93"/>
        <v>1.0122789783889981</v>
      </c>
      <c r="K221" s="241">
        <f t="shared" si="97"/>
        <v>41220</v>
      </c>
      <c r="L221" s="236">
        <f t="shared" si="98"/>
        <v>0</v>
      </c>
      <c r="M221" s="236"/>
      <c r="N221" s="236"/>
      <c r="O221" s="236"/>
      <c r="P221" s="236"/>
      <c r="Q221" s="236"/>
      <c r="R221" s="236"/>
      <c r="S221" s="236"/>
      <c r="T221" s="236">
        <f t="shared" si="99"/>
        <v>41220</v>
      </c>
      <c r="U221" s="236">
        <v>12380</v>
      </c>
      <c r="V221" s="236">
        <v>7300</v>
      </c>
      <c r="W221" s="236">
        <v>6000</v>
      </c>
      <c r="X221" s="236">
        <v>4900</v>
      </c>
      <c r="Y221" s="236">
        <v>8140</v>
      </c>
      <c r="Z221" s="236">
        <v>2500</v>
      </c>
      <c r="AA221" s="236"/>
      <c r="AB221" s="236"/>
      <c r="AC221" s="236"/>
      <c r="AD221" s="236"/>
      <c r="AE221" s="236"/>
    </row>
    <row r="222" spans="1:31" x14ac:dyDescent="0.2">
      <c r="A222" s="227"/>
      <c r="B222" s="227"/>
      <c r="C222" s="228" t="s">
        <v>533</v>
      </c>
      <c r="D222" s="229" t="s">
        <v>534</v>
      </c>
      <c r="E222" s="230" t="s">
        <v>640</v>
      </c>
      <c r="F222" s="231">
        <v>4817.41</v>
      </c>
      <c r="G222" s="232">
        <f t="shared" si="92"/>
        <v>0.41529396551724135</v>
      </c>
      <c r="H222" s="230" t="s">
        <v>640</v>
      </c>
      <c r="I222" s="234">
        <f t="shared" si="96"/>
        <v>11600</v>
      </c>
      <c r="J222" s="936">
        <f t="shared" si="93"/>
        <v>1</v>
      </c>
      <c r="K222" s="241">
        <f t="shared" si="97"/>
        <v>11600</v>
      </c>
      <c r="L222" s="236">
        <f t="shared" si="98"/>
        <v>0</v>
      </c>
      <c r="M222" s="236"/>
      <c r="N222" s="236"/>
      <c r="O222" s="236"/>
      <c r="P222" s="236"/>
      <c r="Q222" s="236"/>
      <c r="R222" s="236"/>
      <c r="S222" s="236"/>
      <c r="T222" s="236">
        <f t="shared" si="99"/>
        <v>11600</v>
      </c>
      <c r="U222" s="236">
        <v>2500</v>
      </c>
      <c r="V222" s="236">
        <v>1500</v>
      </c>
      <c r="W222" s="236">
        <v>1000</v>
      </c>
      <c r="X222" s="236">
        <v>2000</v>
      </c>
      <c r="Y222" s="236">
        <v>1600</v>
      </c>
      <c r="Z222" s="236">
        <v>3000</v>
      </c>
      <c r="AA222" s="236"/>
      <c r="AB222" s="236"/>
      <c r="AC222" s="236"/>
      <c r="AD222" s="236"/>
      <c r="AE222" s="236"/>
    </row>
    <row r="223" spans="1:31" x14ac:dyDescent="0.2">
      <c r="A223" s="227"/>
      <c r="B223" s="227"/>
      <c r="C223" s="228" t="s">
        <v>416</v>
      </c>
      <c r="D223" s="229" t="s">
        <v>417</v>
      </c>
      <c r="E223" s="230" t="s">
        <v>641</v>
      </c>
      <c r="F223" s="231">
        <v>5380.25</v>
      </c>
      <c r="G223" s="232">
        <f t="shared" si="92"/>
        <v>0.54345959595959592</v>
      </c>
      <c r="H223" s="230" t="s">
        <v>641</v>
      </c>
      <c r="I223" s="234">
        <f t="shared" si="96"/>
        <v>13900</v>
      </c>
      <c r="J223" s="936">
        <f t="shared" si="93"/>
        <v>1.404040404040404</v>
      </c>
      <c r="K223" s="241">
        <f t="shared" si="97"/>
        <v>13900</v>
      </c>
      <c r="L223" s="236">
        <f t="shared" si="98"/>
        <v>0</v>
      </c>
      <c r="M223" s="236"/>
      <c r="N223" s="236"/>
      <c r="O223" s="236"/>
      <c r="P223" s="236"/>
      <c r="Q223" s="236"/>
      <c r="R223" s="236"/>
      <c r="S223" s="236"/>
      <c r="T223" s="236">
        <f t="shared" si="99"/>
        <v>13900</v>
      </c>
      <c r="U223" s="236">
        <v>1800</v>
      </c>
      <c r="V223" s="236">
        <v>2100</v>
      </c>
      <c r="W223" s="236">
        <v>1000</v>
      </c>
      <c r="X223" s="236">
        <v>0</v>
      </c>
      <c r="Y223" s="236">
        <v>2000</v>
      </c>
      <c r="Z223" s="236">
        <v>7000</v>
      </c>
      <c r="AA223" s="236"/>
      <c r="AB223" s="236"/>
      <c r="AC223" s="236"/>
      <c r="AD223" s="236"/>
      <c r="AE223" s="236"/>
    </row>
    <row r="224" spans="1:31" x14ac:dyDescent="0.2">
      <c r="A224" s="227"/>
      <c r="B224" s="227"/>
      <c r="C224" s="228" t="s">
        <v>537</v>
      </c>
      <c r="D224" s="229" t="s">
        <v>538</v>
      </c>
      <c r="E224" s="230" t="s">
        <v>642</v>
      </c>
      <c r="F224" s="231">
        <v>401098</v>
      </c>
      <c r="G224" s="232">
        <f t="shared" si="92"/>
        <v>1</v>
      </c>
      <c r="H224" s="230" t="s">
        <v>642</v>
      </c>
      <c r="I224" s="234">
        <f t="shared" si="96"/>
        <v>511990</v>
      </c>
      <c r="J224" s="936">
        <f t="shared" si="93"/>
        <v>1.2764710868665514</v>
      </c>
      <c r="K224" s="241">
        <f t="shared" si="97"/>
        <v>511990</v>
      </c>
      <c r="L224" s="236">
        <f t="shared" si="98"/>
        <v>0</v>
      </c>
      <c r="M224" s="236"/>
      <c r="N224" s="236"/>
      <c r="O224" s="236"/>
      <c r="P224" s="236"/>
      <c r="Q224" s="236"/>
      <c r="R224" s="236"/>
      <c r="S224" s="236"/>
      <c r="T224" s="236">
        <f t="shared" si="99"/>
        <v>511990</v>
      </c>
      <c r="U224" s="236">
        <v>120440</v>
      </c>
      <c r="V224" s="236">
        <v>170718</v>
      </c>
      <c r="W224" s="236">
        <v>50384</v>
      </c>
      <c r="X224" s="236">
        <v>57056</v>
      </c>
      <c r="Y224" s="236">
        <v>67578</v>
      </c>
      <c r="Z224" s="236">
        <v>45814</v>
      </c>
      <c r="AA224" s="236"/>
      <c r="AB224" s="236"/>
      <c r="AC224" s="236"/>
      <c r="AD224" s="236"/>
      <c r="AE224" s="236"/>
    </row>
    <row r="225" spans="1:31" x14ac:dyDescent="0.2">
      <c r="A225" s="227"/>
      <c r="B225" s="227"/>
      <c r="C225" s="228" t="s">
        <v>643</v>
      </c>
      <c r="D225" s="229" t="s">
        <v>644</v>
      </c>
      <c r="E225" s="230" t="s">
        <v>113</v>
      </c>
      <c r="F225" s="231">
        <v>103</v>
      </c>
      <c r="G225" s="232">
        <f t="shared" si="92"/>
        <v>0.10299999999999999</v>
      </c>
      <c r="H225" s="230" t="s">
        <v>113</v>
      </c>
      <c r="I225" s="234">
        <f t="shared" si="96"/>
        <v>1000</v>
      </c>
      <c r="J225" s="936">
        <f t="shared" si="93"/>
        <v>1</v>
      </c>
      <c r="K225" s="241">
        <f t="shared" si="97"/>
        <v>1000</v>
      </c>
      <c r="L225" s="236">
        <f t="shared" si="98"/>
        <v>0</v>
      </c>
      <c r="M225" s="236"/>
      <c r="N225" s="236"/>
      <c r="O225" s="236"/>
      <c r="P225" s="236"/>
      <c r="Q225" s="236"/>
      <c r="R225" s="236"/>
      <c r="S225" s="236"/>
      <c r="T225" s="236">
        <f t="shared" si="99"/>
        <v>1000</v>
      </c>
      <c r="U225" s="236">
        <v>100</v>
      </c>
      <c r="V225" s="236">
        <v>150</v>
      </c>
      <c r="W225" s="236"/>
      <c r="X225" s="236">
        <v>250</v>
      </c>
      <c r="Y225" s="236">
        <v>500</v>
      </c>
      <c r="Z225" s="236"/>
      <c r="AA225" s="236"/>
      <c r="AB225" s="236"/>
      <c r="AC225" s="236"/>
      <c r="AD225" s="236"/>
      <c r="AE225" s="236"/>
    </row>
    <row r="226" spans="1:31" ht="22.5" x14ac:dyDescent="0.2">
      <c r="A226" s="227"/>
      <c r="B226" s="227"/>
      <c r="C226" s="228" t="s">
        <v>540</v>
      </c>
      <c r="D226" s="229" t="s">
        <v>541</v>
      </c>
      <c r="E226" s="230" t="s">
        <v>95</v>
      </c>
      <c r="F226" s="231">
        <v>0</v>
      </c>
      <c r="G226" s="232">
        <f t="shared" si="92"/>
        <v>0</v>
      </c>
      <c r="H226" s="230" t="s">
        <v>95</v>
      </c>
      <c r="I226" s="234">
        <f t="shared" si="96"/>
        <v>2500</v>
      </c>
      <c r="J226" s="936">
        <f t="shared" si="93"/>
        <v>1.25</v>
      </c>
      <c r="K226" s="241">
        <f t="shared" si="97"/>
        <v>2500</v>
      </c>
      <c r="L226" s="236">
        <f t="shared" si="98"/>
        <v>0</v>
      </c>
      <c r="M226" s="236"/>
      <c r="N226" s="236"/>
      <c r="O226" s="236"/>
      <c r="P226" s="236"/>
      <c r="Q226" s="236"/>
      <c r="R226" s="236"/>
      <c r="S226" s="236"/>
      <c r="T226" s="236">
        <f t="shared" si="99"/>
        <v>2500</v>
      </c>
      <c r="U226" s="236">
        <v>0</v>
      </c>
      <c r="V226" s="236">
        <v>500</v>
      </c>
      <c r="W226" s="236"/>
      <c r="X226" s="236">
        <v>0</v>
      </c>
      <c r="Y226" s="236">
        <v>1000</v>
      </c>
      <c r="Z226" s="236">
        <v>1000</v>
      </c>
      <c r="AA226" s="236"/>
      <c r="AB226" s="236"/>
      <c r="AC226" s="236"/>
      <c r="AD226" s="236"/>
      <c r="AE226" s="236"/>
    </row>
    <row r="227" spans="1:31" x14ac:dyDescent="0.2">
      <c r="A227" s="227"/>
      <c r="B227" s="227"/>
      <c r="C227" s="228" t="s">
        <v>443</v>
      </c>
      <c r="D227" s="229" t="s">
        <v>444</v>
      </c>
      <c r="E227" s="230" t="s">
        <v>645</v>
      </c>
      <c r="F227" s="231">
        <v>74919.5</v>
      </c>
      <c r="G227" s="232">
        <f t="shared" si="92"/>
        <v>0.599356</v>
      </c>
      <c r="H227" s="230" t="s">
        <v>645</v>
      </c>
      <c r="I227" s="234">
        <f t="shared" si="96"/>
        <v>743414</v>
      </c>
      <c r="J227" s="936">
        <f t="shared" si="93"/>
        <v>5.9473120000000002</v>
      </c>
      <c r="K227" s="241">
        <f t="shared" si="97"/>
        <v>743414</v>
      </c>
      <c r="L227" s="236">
        <f t="shared" si="98"/>
        <v>699789</v>
      </c>
      <c r="M227" s="236"/>
      <c r="N227" s="236">
        <v>699789</v>
      </c>
      <c r="O227" s="236"/>
      <c r="P227" s="236"/>
      <c r="Q227" s="236"/>
      <c r="R227" s="236"/>
      <c r="S227" s="236"/>
      <c r="T227" s="236">
        <f t="shared" si="99"/>
        <v>43625</v>
      </c>
      <c r="U227" s="236">
        <v>0</v>
      </c>
      <c r="V227" s="236">
        <v>20375</v>
      </c>
      <c r="W227" s="236"/>
      <c r="X227" s="236">
        <v>23250</v>
      </c>
      <c r="Y227" s="236">
        <v>0</v>
      </c>
      <c r="Z227" s="236"/>
      <c r="AA227" s="236"/>
      <c r="AB227" s="236"/>
      <c r="AC227" s="236"/>
      <c r="AD227" s="236"/>
      <c r="AE227" s="236"/>
    </row>
    <row r="228" spans="1:31" ht="15" x14ac:dyDescent="0.2">
      <c r="A228" s="219"/>
      <c r="B228" s="220" t="s">
        <v>238</v>
      </c>
      <c r="C228" s="221"/>
      <c r="D228" s="222" t="s">
        <v>239</v>
      </c>
      <c r="E228" s="223">
        <f>E229+E230+E231+E232+E233+E234+E235+E236+E237+E238+E239+E240+E241</f>
        <v>746141.14</v>
      </c>
      <c r="F228" s="239">
        <f t="shared" ref="F228:AE228" si="100">F229+F230+F231+F232+F233+F234+F235+F236+F237+F238+F239+F240+F241</f>
        <v>601376.6100000001</v>
      </c>
      <c r="G228" s="238">
        <f t="shared" si="92"/>
        <v>0.80598237754320867</v>
      </c>
      <c r="H228" s="239">
        <f t="shared" si="100"/>
        <v>745341.14</v>
      </c>
      <c r="I228" s="240">
        <f t="shared" si="100"/>
        <v>786236</v>
      </c>
      <c r="J228" s="937">
        <f t="shared" si="93"/>
        <v>1.0537362944495996</v>
      </c>
      <c r="K228" s="925">
        <f t="shared" si="100"/>
        <v>786236</v>
      </c>
      <c r="L228" s="223">
        <f t="shared" si="100"/>
        <v>0</v>
      </c>
      <c r="M228" s="223">
        <f t="shared" si="100"/>
        <v>0</v>
      </c>
      <c r="N228" s="223">
        <f t="shared" si="100"/>
        <v>0</v>
      </c>
      <c r="O228" s="223">
        <f t="shared" si="100"/>
        <v>0</v>
      </c>
      <c r="P228" s="223">
        <f t="shared" si="100"/>
        <v>0</v>
      </c>
      <c r="Q228" s="223">
        <f t="shared" si="100"/>
        <v>0</v>
      </c>
      <c r="R228" s="226">
        <f>R229+R230+R231+R232+R233+R234+R235+R236+R237+R238+R239+R240+R241</f>
        <v>0</v>
      </c>
      <c r="S228" s="223">
        <f t="shared" si="100"/>
        <v>0</v>
      </c>
      <c r="T228" s="223">
        <f t="shared" si="100"/>
        <v>786236</v>
      </c>
      <c r="U228" s="223">
        <f t="shared" si="100"/>
        <v>233691</v>
      </c>
      <c r="V228" s="223">
        <f t="shared" si="100"/>
        <v>0</v>
      </c>
      <c r="W228" s="223">
        <f t="shared" si="100"/>
        <v>101188</v>
      </c>
      <c r="X228" s="223">
        <f t="shared" si="100"/>
        <v>321872</v>
      </c>
      <c r="Y228" s="223">
        <f t="shared" si="100"/>
        <v>0</v>
      </c>
      <c r="Z228" s="223">
        <f t="shared" si="100"/>
        <v>129485</v>
      </c>
      <c r="AA228" s="223">
        <f t="shared" si="100"/>
        <v>0</v>
      </c>
      <c r="AB228" s="223">
        <f t="shared" si="100"/>
        <v>0</v>
      </c>
      <c r="AC228" s="223">
        <f t="shared" si="100"/>
        <v>0</v>
      </c>
      <c r="AD228" s="223">
        <f t="shared" si="100"/>
        <v>0</v>
      </c>
      <c r="AE228" s="223">
        <f t="shared" si="100"/>
        <v>0</v>
      </c>
    </row>
    <row r="229" spans="1:31" x14ac:dyDescent="0.2">
      <c r="A229" s="227"/>
      <c r="B229" s="227"/>
      <c r="C229" s="228" t="s">
        <v>491</v>
      </c>
      <c r="D229" s="229" t="s">
        <v>492</v>
      </c>
      <c r="E229" s="230" t="s">
        <v>646</v>
      </c>
      <c r="F229" s="231">
        <v>13985.68</v>
      </c>
      <c r="G229" s="232">
        <f t="shared" si="92"/>
        <v>0.80275972907817705</v>
      </c>
      <c r="H229" s="230" t="s">
        <v>646</v>
      </c>
      <c r="I229" s="234">
        <f>K229</f>
        <v>4164</v>
      </c>
      <c r="J229" s="936">
        <f t="shared" si="93"/>
        <v>0.239008150614166</v>
      </c>
      <c r="K229" s="241">
        <f>L229+S229+T229</f>
        <v>4164</v>
      </c>
      <c r="L229" s="236">
        <f>SUM(M229:R229)</f>
        <v>0</v>
      </c>
      <c r="M229" s="236"/>
      <c r="N229" s="236"/>
      <c r="O229" s="236"/>
      <c r="P229" s="236"/>
      <c r="Q229" s="236"/>
      <c r="R229" s="236"/>
      <c r="S229" s="236"/>
      <c r="T229" s="236">
        <f>SUM(U229:AD229)</f>
        <v>4164</v>
      </c>
      <c r="U229" s="236">
        <v>1345</v>
      </c>
      <c r="V229" s="236"/>
      <c r="W229" s="236">
        <v>123</v>
      </c>
      <c r="X229" s="236">
        <v>2502</v>
      </c>
      <c r="Y229" s="236"/>
      <c r="Z229" s="236">
        <v>194</v>
      </c>
      <c r="AA229" s="236"/>
      <c r="AB229" s="236"/>
      <c r="AC229" s="236"/>
      <c r="AD229" s="236"/>
      <c r="AE229" s="236"/>
    </row>
    <row r="230" spans="1:31" x14ac:dyDescent="0.2">
      <c r="A230" s="227"/>
      <c r="B230" s="227"/>
      <c r="C230" s="228" t="s">
        <v>401</v>
      </c>
      <c r="D230" s="229" t="s">
        <v>402</v>
      </c>
      <c r="E230" s="230" t="s">
        <v>647</v>
      </c>
      <c r="F230" s="231">
        <v>424979.34</v>
      </c>
      <c r="G230" s="232">
        <f t="shared" si="92"/>
        <v>0.83975289435398981</v>
      </c>
      <c r="H230" s="230" t="s">
        <v>647</v>
      </c>
      <c r="I230" s="234">
        <f t="shared" ref="I230:I241" si="101">K230</f>
        <v>514900</v>
      </c>
      <c r="J230" s="936">
        <f t="shared" si="93"/>
        <v>1.0174347894249856</v>
      </c>
      <c r="K230" s="241">
        <f t="shared" ref="K230:K241" si="102">L230+S230+T230</f>
        <v>514900</v>
      </c>
      <c r="L230" s="236">
        <f t="shared" ref="L230:L241" si="103">SUM(M230:R230)</f>
        <v>0</v>
      </c>
      <c r="M230" s="236"/>
      <c r="N230" s="236"/>
      <c r="O230" s="236"/>
      <c r="P230" s="236"/>
      <c r="Q230" s="236"/>
      <c r="R230" s="236"/>
      <c r="S230" s="236"/>
      <c r="T230" s="236">
        <f t="shared" ref="T230:T241" si="104">SUM(U230:AD230)</f>
        <v>514900</v>
      </c>
      <c r="U230" s="236">
        <v>152600</v>
      </c>
      <c r="V230" s="236"/>
      <c r="W230" s="236">
        <v>64900</v>
      </c>
      <c r="X230" s="236">
        <v>218900</v>
      </c>
      <c r="Y230" s="236"/>
      <c r="Z230" s="236">
        <v>78500</v>
      </c>
      <c r="AA230" s="236"/>
      <c r="AB230" s="236"/>
      <c r="AC230" s="236"/>
      <c r="AD230" s="236"/>
      <c r="AE230" s="236"/>
    </row>
    <row r="231" spans="1:31" x14ac:dyDescent="0.2">
      <c r="A231" s="227"/>
      <c r="B231" s="227"/>
      <c r="C231" s="228" t="s">
        <v>495</v>
      </c>
      <c r="D231" s="229" t="s">
        <v>496</v>
      </c>
      <c r="E231" s="230" t="s">
        <v>648</v>
      </c>
      <c r="F231" s="231">
        <v>34452.480000000003</v>
      </c>
      <c r="G231" s="232">
        <f t="shared" si="92"/>
        <v>1</v>
      </c>
      <c r="H231" s="230" t="s">
        <v>648</v>
      </c>
      <c r="I231" s="234">
        <f t="shared" si="101"/>
        <v>49004</v>
      </c>
      <c r="J231" s="936">
        <f t="shared" si="93"/>
        <v>1.4223649502154851</v>
      </c>
      <c r="K231" s="241">
        <f t="shared" si="102"/>
        <v>49004</v>
      </c>
      <c r="L231" s="236">
        <f t="shared" si="103"/>
        <v>0</v>
      </c>
      <c r="M231" s="236"/>
      <c r="N231" s="236"/>
      <c r="O231" s="236"/>
      <c r="P231" s="236"/>
      <c r="Q231" s="236"/>
      <c r="R231" s="236"/>
      <c r="S231" s="236"/>
      <c r="T231" s="236">
        <f t="shared" si="104"/>
        <v>49004</v>
      </c>
      <c r="U231" s="236">
        <v>11430</v>
      </c>
      <c r="V231" s="236"/>
      <c r="W231" s="236">
        <v>10544</v>
      </c>
      <c r="X231" s="236">
        <v>18590</v>
      </c>
      <c r="Y231" s="236"/>
      <c r="Z231" s="236">
        <v>8440</v>
      </c>
      <c r="AA231" s="236"/>
      <c r="AB231" s="236"/>
      <c r="AC231" s="236"/>
      <c r="AD231" s="236"/>
      <c r="AE231" s="236"/>
    </row>
    <row r="232" spans="1:31" x14ac:dyDescent="0.2">
      <c r="A232" s="227"/>
      <c r="B232" s="227"/>
      <c r="C232" s="228" t="s">
        <v>404</v>
      </c>
      <c r="D232" s="229" t="s">
        <v>405</v>
      </c>
      <c r="E232" s="230" t="s">
        <v>649</v>
      </c>
      <c r="F232" s="231">
        <v>76397.149999999994</v>
      </c>
      <c r="G232" s="232">
        <f t="shared" si="92"/>
        <v>0.83388436517638831</v>
      </c>
      <c r="H232" s="230" t="s">
        <v>649</v>
      </c>
      <c r="I232" s="234">
        <f t="shared" si="101"/>
        <v>95448</v>
      </c>
      <c r="J232" s="936">
        <f t="shared" si="93"/>
        <v>1.0418267551519385</v>
      </c>
      <c r="K232" s="241">
        <f t="shared" si="102"/>
        <v>95448</v>
      </c>
      <c r="L232" s="236">
        <f t="shared" si="103"/>
        <v>0</v>
      </c>
      <c r="M232" s="236"/>
      <c r="N232" s="236"/>
      <c r="O232" s="236"/>
      <c r="P232" s="236"/>
      <c r="Q232" s="236"/>
      <c r="R232" s="236"/>
      <c r="S232" s="236"/>
      <c r="T232" s="236">
        <f t="shared" si="104"/>
        <v>95448</v>
      </c>
      <c r="U232" s="236">
        <v>28138</v>
      </c>
      <c r="V232" s="236"/>
      <c r="W232" s="236">
        <v>12957</v>
      </c>
      <c r="X232" s="236">
        <v>39487</v>
      </c>
      <c r="Y232" s="236"/>
      <c r="Z232" s="236">
        <v>14866</v>
      </c>
      <c r="AA232" s="236"/>
      <c r="AB232" s="236"/>
      <c r="AC232" s="236"/>
      <c r="AD232" s="236"/>
      <c r="AE232" s="236"/>
    </row>
    <row r="233" spans="1:31" x14ac:dyDescent="0.2">
      <c r="A233" s="227"/>
      <c r="B233" s="227"/>
      <c r="C233" s="228" t="s">
        <v>407</v>
      </c>
      <c r="D233" s="229" t="s">
        <v>408</v>
      </c>
      <c r="E233" s="230" t="s">
        <v>650</v>
      </c>
      <c r="F233" s="231">
        <v>8247.81</v>
      </c>
      <c r="G233" s="232">
        <f t="shared" si="92"/>
        <v>0.66364740907627928</v>
      </c>
      <c r="H233" s="230" t="s">
        <v>650</v>
      </c>
      <c r="I233" s="234">
        <f t="shared" si="101"/>
        <v>13645</v>
      </c>
      <c r="J233" s="936">
        <f t="shared" si="93"/>
        <v>1.0979240424847119</v>
      </c>
      <c r="K233" s="241">
        <f t="shared" si="102"/>
        <v>13645</v>
      </c>
      <c r="L233" s="236">
        <f t="shared" si="103"/>
        <v>0</v>
      </c>
      <c r="M233" s="236"/>
      <c r="N233" s="236"/>
      <c r="O233" s="236"/>
      <c r="P233" s="236"/>
      <c r="Q233" s="236"/>
      <c r="R233" s="236"/>
      <c r="S233" s="236"/>
      <c r="T233" s="236">
        <f t="shared" si="104"/>
        <v>13645</v>
      </c>
      <c r="U233" s="236">
        <v>4010</v>
      </c>
      <c r="V233" s="236"/>
      <c r="W233" s="236">
        <v>1847</v>
      </c>
      <c r="X233" s="236">
        <v>5658</v>
      </c>
      <c r="Y233" s="236"/>
      <c r="Z233" s="236">
        <v>2130</v>
      </c>
      <c r="AA233" s="236"/>
      <c r="AB233" s="236"/>
      <c r="AC233" s="236"/>
      <c r="AD233" s="236"/>
      <c r="AE233" s="236"/>
    </row>
    <row r="234" spans="1:31" x14ac:dyDescent="0.2">
      <c r="A234" s="227"/>
      <c r="B234" s="227"/>
      <c r="C234" s="228" t="s">
        <v>410</v>
      </c>
      <c r="D234" s="229" t="s">
        <v>411</v>
      </c>
      <c r="E234" s="230" t="s">
        <v>651</v>
      </c>
      <c r="F234" s="231">
        <v>7177.73</v>
      </c>
      <c r="G234" s="232">
        <f t="shared" si="92"/>
        <v>0.26983947368421052</v>
      </c>
      <c r="H234" s="230" t="s">
        <v>651</v>
      </c>
      <c r="I234" s="234">
        <f t="shared" si="101"/>
        <v>27600</v>
      </c>
      <c r="J234" s="936">
        <f t="shared" si="93"/>
        <v>1.0375939849624061</v>
      </c>
      <c r="K234" s="241">
        <f t="shared" si="102"/>
        <v>27600</v>
      </c>
      <c r="L234" s="236">
        <f t="shared" si="103"/>
        <v>0</v>
      </c>
      <c r="M234" s="236"/>
      <c r="N234" s="236"/>
      <c r="O234" s="236"/>
      <c r="P234" s="236"/>
      <c r="Q234" s="236"/>
      <c r="R234" s="236"/>
      <c r="S234" s="236"/>
      <c r="T234" s="236">
        <f t="shared" si="104"/>
        <v>27600</v>
      </c>
      <c r="U234" s="236">
        <v>13100</v>
      </c>
      <c r="V234" s="236"/>
      <c r="W234" s="236">
        <v>6000</v>
      </c>
      <c r="X234" s="236">
        <v>3500</v>
      </c>
      <c r="Y234" s="236"/>
      <c r="Z234" s="236">
        <v>5000</v>
      </c>
      <c r="AA234" s="236"/>
      <c r="AB234" s="236"/>
      <c r="AC234" s="236"/>
      <c r="AD234" s="236"/>
      <c r="AE234" s="236"/>
    </row>
    <row r="235" spans="1:31" x14ac:dyDescent="0.2">
      <c r="A235" s="227"/>
      <c r="B235" s="227"/>
      <c r="C235" s="228" t="s">
        <v>630</v>
      </c>
      <c r="D235" s="229" t="s">
        <v>631</v>
      </c>
      <c r="E235" s="230" t="s">
        <v>127</v>
      </c>
      <c r="F235" s="231">
        <v>433.5</v>
      </c>
      <c r="G235" s="232">
        <f t="shared" si="92"/>
        <v>0.12385714285714286</v>
      </c>
      <c r="H235" s="230" t="s">
        <v>127</v>
      </c>
      <c r="I235" s="234">
        <f t="shared" si="101"/>
        <v>3500</v>
      </c>
      <c r="J235" s="936">
        <f t="shared" si="93"/>
        <v>1</v>
      </c>
      <c r="K235" s="241">
        <f t="shared" si="102"/>
        <v>3500</v>
      </c>
      <c r="L235" s="236">
        <f t="shared" si="103"/>
        <v>0</v>
      </c>
      <c r="M235" s="236"/>
      <c r="N235" s="236"/>
      <c r="O235" s="236"/>
      <c r="P235" s="236"/>
      <c r="Q235" s="236"/>
      <c r="R235" s="236"/>
      <c r="S235" s="236"/>
      <c r="T235" s="236">
        <f t="shared" si="104"/>
        <v>3500</v>
      </c>
      <c r="U235" s="236">
        <v>500</v>
      </c>
      <c r="V235" s="236"/>
      <c r="W235" s="236">
        <v>500</v>
      </c>
      <c r="X235" s="236">
        <v>1000</v>
      </c>
      <c r="Y235" s="236"/>
      <c r="Z235" s="236">
        <v>1500</v>
      </c>
      <c r="AA235" s="236"/>
      <c r="AB235" s="236"/>
      <c r="AC235" s="236"/>
      <c r="AD235" s="236"/>
      <c r="AE235" s="236"/>
    </row>
    <row r="236" spans="1:31" x14ac:dyDescent="0.2">
      <c r="A236" s="227"/>
      <c r="B236" s="227"/>
      <c r="C236" s="228" t="s">
        <v>424</v>
      </c>
      <c r="D236" s="229" t="s">
        <v>425</v>
      </c>
      <c r="E236" s="230" t="s">
        <v>652</v>
      </c>
      <c r="F236" s="231">
        <v>5702.81</v>
      </c>
      <c r="G236" s="232">
        <f t="shared" si="92"/>
        <v>0.27156238095238094</v>
      </c>
      <c r="H236" s="230" t="s">
        <v>652</v>
      </c>
      <c r="I236" s="234">
        <f t="shared" si="101"/>
        <v>21000</v>
      </c>
      <c r="J236" s="936">
        <f t="shared" si="93"/>
        <v>1</v>
      </c>
      <c r="K236" s="241">
        <f t="shared" si="102"/>
        <v>21000</v>
      </c>
      <c r="L236" s="236">
        <f t="shared" si="103"/>
        <v>0</v>
      </c>
      <c r="M236" s="236"/>
      <c r="N236" s="236"/>
      <c r="O236" s="236"/>
      <c r="P236" s="236"/>
      <c r="Q236" s="236"/>
      <c r="R236" s="236"/>
      <c r="S236" s="236"/>
      <c r="T236" s="236">
        <f t="shared" si="104"/>
        <v>21000</v>
      </c>
      <c r="U236" s="236">
        <v>0</v>
      </c>
      <c r="V236" s="236"/>
      <c r="W236" s="236">
        <v>0</v>
      </c>
      <c r="X236" s="236">
        <v>7000</v>
      </c>
      <c r="Y236" s="236"/>
      <c r="Z236" s="236">
        <v>14000</v>
      </c>
      <c r="AA236" s="236"/>
      <c r="AB236" s="236"/>
      <c r="AC236" s="236"/>
      <c r="AD236" s="236"/>
      <c r="AE236" s="236"/>
    </row>
    <row r="237" spans="1:31" x14ac:dyDescent="0.2">
      <c r="A237" s="227"/>
      <c r="B237" s="227"/>
      <c r="C237" s="228" t="s">
        <v>438</v>
      </c>
      <c r="D237" s="229" t="s">
        <v>439</v>
      </c>
      <c r="E237" s="230" t="s">
        <v>653</v>
      </c>
      <c r="F237" s="231">
        <v>0</v>
      </c>
      <c r="G237" s="232">
        <f t="shared" si="92"/>
        <v>0</v>
      </c>
      <c r="H237" s="230">
        <v>0</v>
      </c>
      <c r="I237" s="234">
        <f t="shared" si="101"/>
        <v>16000</v>
      </c>
      <c r="J237" s="936">
        <f t="shared" si="93"/>
        <v>20</v>
      </c>
      <c r="K237" s="241">
        <f t="shared" si="102"/>
        <v>16000</v>
      </c>
      <c r="L237" s="236">
        <f t="shared" si="103"/>
        <v>0</v>
      </c>
      <c r="M237" s="236"/>
      <c r="N237" s="236"/>
      <c r="O237" s="236"/>
      <c r="P237" s="236"/>
      <c r="Q237" s="236"/>
      <c r="R237" s="236"/>
      <c r="S237" s="236"/>
      <c r="T237" s="236">
        <f t="shared" si="104"/>
        <v>16000</v>
      </c>
      <c r="U237" s="236">
        <v>3000</v>
      </c>
      <c r="V237" s="236"/>
      <c r="W237" s="236"/>
      <c r="X237" s="236">
        <f>13000+17000-17000</f>
        <v>13000</v>
      </c>
      <c r="Y237" s="236"/>
      <c r="Z237" s="236">
        <v>0</v>
      </c>
      <c r="AA237" s="236"/>
      <c r="AB237" s="236"/>
      <c r="AC237" s="236"/>
      <c r="AD237" s="236"/>
      <c r="AE237" s="236"/>
    </row>
    <row r="238" spans="1:31" x14ac:dyDescent="0.2">
      <c r="A238" s="227"/>
      <c r="B238" s="227"/>
      <c r="C238" s="228" t="s">
        <v>524</v>
      </c>
      <c r="D238" s="229" t="s">
        <v>525</v>
      </c>
      <c r="E238" s="230" t="s">
        <v>654</v>
      </c>
      <c r="F238" s="231">
        <v>1380</v>
      </c>
      <c r="G238" s="232">
        <f t="shared" si="92"/>
        <v>0.65714285714285714</v>
      </c>
      <c r="H238" s="230" t="s">
        <v>654</v>
      </c>
      <c r="I238" s="234">
        <f t="shared" si="101"/>
        <v>1200</v>
      </c>
      <c r="J238" s="936">
        <f t="shared" si="93"/>
        <v>0.5714285714285714</v>
      </c>
      <c r="K238" s="241">
        <f t="shared" si="102"/>
        <v>1200</v>
      </c>
      <c r="L238" s="236">
        <f t="shared" si="103"/>
        <v>0</v>
      </c>
      <c r="M238" s="236"/>
      <c r="N238" s="236"/>
      <c r="O238" s="236"/>
      <c r="P238" s="236"/>
      <c r="Q238" s="236"/>
      <c r="R238" s="236"/>
      <c r="S238" s="236"/>
      <c r="T238" s="236">
        <f t="shared" si="104"/>
        <v>1200</v>
      </c>
      <c r="U238" s="236">
        <v>300</v>
      </c>
      <c r="V238" s="236"/>
      <c r="W238" s="236"/>
      <c r="X238" s="236">
        <v>700</v>
      </c>
      <c r="Y238" s="236"/>
      <c r="Z238" s="236">
        <v>200</v>
      </c>
      <c r="AA238" s="236"/>
      <c r="AB238" s="236"/>
      <c r="AC238" s="236"/>
      <c r="AD238" s="236"/>
      <c r="AE238" s="236"/>
    </row>
    <row r="239" spans="1:31" x14ac:dyDescent="0.2">
      <c r="A239" s="227"/>
      <c r="B239" s="227"/>
      <c r="C239" s="228" t="s">
        <v>413</v>
      </c>
      <c r="D239" s="229" t="s">
        <v>414</v>
      </c>
      <c r="E239" s="230" t="s">
        <v>655</v>
      </c>
      <c r="F239" s="231">
        <v>1902.41</v>
      </c>
      <c r="G239" s="232">
        <f t="shared" si="92"/>
        <v>0.55953235294117654</v>
      </c>
      <c r="H239" s="230" t="s">
        <v>655</v>
      </c>
      <c r="I239" s="234">
        <f t="shared" si="101"/>
        <v>4100</v>
      </c>
      <c r="J239" s="936">
        <f t="shared" si="93"/>
        <v>1.2058823529411764</v>
      </c>
      <c r="K239" s="241">
        <f t="shared" si="102"/>
        <v>4100</v>
      </c>
      <c r="L239" s="236">
        <f t="shared" si="103"/>
        <v>0</v>
      </c>
      <c r="M239" s="236"/>
      <c r="N239" s="236"/>
      <c r="O239" s="236"/>
      <c r="P239" s="236"/>
      <c r="Q239" s="236"/>
      <c r="R239" s="236"/>
      <c r="S239" s="236"/>
      <c r="T239" s="236">
        <f t="shared" si="104"/>
        <v>4100</v>
      </c>
      <c r="U239" s="236">
        <v>1600</v>
      </c>
      <c r="V239" s="236"/>
      <c r="W239" s="236"/>
      <c r="X239" s="236">
        <v>1500</v>
      </c>
      <c r="Y239" s="236"/>
      <c r="Z239" s="236">
        <v>1000</v>
      </c>
      <c r="AA239" s="236"/>
      <c r="AB239" s="236"/>
      <c r="AC239" s="236"/>
      <c r="AD239" s="236"/>
      <c r="AE239" s="236"/>
    </row>
    <row r="240" spans="1:31" x14ac:dyDescent="0.2">
      <c r="A240" s="227"/>
      <c r="B240" s="227"/>
      <c r="C240" s="228" t="s">
        <v>451</v>
      </c>
      <c r="D240" s="229" t="s">
        <v>452</v>
      </c>
      <c r="E240" s="230" t="s">
        <v>113</v>
      </c>
      <c r="F240" s="231">
        <v>971.7</v>
      </c>
      <c r="G240" s="232">
        <f t="shared" si="92"/>
        <v>0.97170000000000001</v>
      </c>
      <c r="H240" s="230" t="s">
        <v>113</v>
      </c>
      <c r="I240" s="234">
        <f t="shared" si="101"/>
        <v>1000</v>
      </c>
      <c r="J240" s="936">
        <f t="shared" si="93"/>
        <v>1</v>
      </c>
      <c r="K240" s="241">
        <f t="shared" si="102"/>
        <v>1000</v>
      </c>
      <c r="L240" s="236">
        <f t="shared" si="103"/>
        <v>0</v>
      </c>
      <c r="M240" s="236"/>
      <c r="N240" s="236"/>
      <c r="O240" s="236"/>
      <c r="P240" s="236"/>
      <c r="Q240" s="236"/>
      <c r="R240" s="236"/>
      <c r="S240" s="236"/>
      <c r="T240" s="236">
        <f t="shared" si="104"/>
        <v>1000</v>
      </c>
      <c r="U240" s="236">
        <v>0</v>
      </c>
      <c r="V240" s="236"/>
      <c r="W240" s="236"/>
      <c r="X240" s="236">
        <v>1000</v>
      </c>
      <c r="Y240" s="236"/>
      <c r="Z240" s="236">
        <v>0</v>
      </c>
      <c r="AA240" s="236"/>
      <c r="AB240" s="236"/>
      <c r="AC240" s="236"/>
      <c r="AD240" s="236"/>
      <c r="AE240" s="236"/>
    </row>
    <row r="241" spans="1:31" x14ac:dyDescent="0.2">
      <c r="A241" s="227"/>
      <c r="B241" s="227"/>
      <c r="C241" s="228" t="s">
        <v>537</v>
      </c>
      <c r="D241" s="229" t="s">
        <v>538</v>
      </c>
      <c r="E241" s="230" t="s">
        <v>656</v>
      </c>
      <c r="F241" s="231">
        <v>25746</v>
      </c>
      <c r="G241" s="232">
        <f t="shared" si="92"/>
        <v>1</v>
      </c>
      <c r="H241" s="230" t="s">
        <v>656</v>
      </c>
      <c r="I241" s="234">
        <f t="shared" si="101"/>
        <v>34675</v>
      </c>
      <c r="J241" s="936">
        <f t="shared" si="93"/>
        <v>1.3468111551308941</v>
      </c>
      <c r="K241" s="241">
        <f t="shared" si="102"/>
        <v>34675</v>
      </c>
      <c r="L241" s="236">
        <f t="shared" si="103"/>
        <v>0</v>
      </c>
      <c r="M241" s="236"/>
      <c r="N241" s="236"/>
      <c r="O241" s="236"/>
      <c r="P241" s="236"/>
      <c r="Q241" s="236"/>
      <c r="R241" s="236"/>
      <c r="S241" s="236"/>
      <c r="T241" s="236">
        <f t="shared" si="104"/>
        <v>34675</v>
      </c>
      <c r="U241" s="236">
        <v>17668</v>
      </c>
      <c r="V241" s="236"/>
      <c r="W241" s="236">
        <v>4317</v>
      </c>
      <c r="X241" s="236">
        <v>9035</v>
      </c>
      <c r="Y241" s="236"/>
      <c r="Z241" s="236">
        <v>3655</v>
      </c>
      <c r="AA241" s="236"/>
      <c r="AB241" s="236"/>
      <c r="AC241" s="236"/>
      <c r="AD241" s="236"/>
      <c r="AE241" s="236"/>
    </row>
    <row r="242" spans="1:31" ht="15" x14ac:dyDescent="0.2">
      <c r="A242" s="219"/>
      <c r="B242" s="220" t="s">
        <v>241</v>
      </c>
      <c r="C242" s="221"/>
      <c r="D242" s="222" t="s">
        <v>242</v>
      </c>
      <c r="E242" s="223">
        <f>E243+E244+E245+E246+E247+E248+E249+E250+E251+E252+E253+E254+E255+E256+E257+E258+E259+E260+E261+E262+E263+E264</f>
        <v>5842423.6600000001</v>
      </c>
      <c r="F242" s="239">
        <f t="shared" ref="F242:AE242" si="105">F243+F244+F245+F246+F247+F248+F249+F250+F251+F252+F253+F254+F255+F256+F257+F258+F259+F260+F261+F262+F263+F264</f>
        <v>4137028.65</v>
      </c>
      <c r="G242" s="238">
        <f t="shared" si="92"/>
        <v>0.70810144740513392</v>
      </c>
      <c r="H242" s="239">
        <f t="shared" si="105"/>
        <v>5732161.4500000002</v>
      </c>
      <c r="I242" s="240">
        <f t="shared" si="105"/>
        <v>6354421</v>
      </c>
      <c r="J242" s="937">
        <f t="shared" si="93"/>
        <v>1.0876344082174965</v>
      </c>
      <c r="K242" s="925">
        <f t="shared" si="105"/>
        <v>6354421</v>
      </c>
      <c r="L242" s="223">
        <f t="shared" si="105"/>
        <v>1665500</v>
      </c>
      <c r="M242" s="223">
        <f t="shared" si="105"/>
        <v>0</v>
      </c>
      <c r="N242" s="223">
        <f t="shared" si="105"/>
        <v>0</v>
      </c>
      <c r="O242" s="223">
        <f t="shared" si="105"/>
        <v>0</v>
      </c>
      <c r="P242" s="223">
        <f t="shared" si="105"/>
        <v>1665000</v>
      </c>
      <c r="Q242" s="223">
        <f t="shared" si="105"/>
        <v>0</v>
      </c>
      <c r="R242" s="226">
        <f>R243+R244+R245+R246+R247+R248+R249+R250+R251+R252+R253+R254+R255+R256+R257+R258+R259+R260+R261+R262+R263+R264</f>
        <v>500</v>
      </c>
      <c r="S242" s="223">
        <f t="shared" si="105"/>
        <v>0</v>
      </c>
      <c r="T242" s="223">
        <f t="shared" si="105"/>
        <v>4688921</v>
      </c>
      <c r="U242" s="223">
        <f t="shared" si="105"/>
        <v>0</v>
      </c>
      <c r="V242" s="223">
        <f t="shared" si="105"/>
        <v>0</v>
      </c>
      <c r="W242" s="223">
        <f t="shared" si="105"/>
        <v>0</v>
      </c>
      <c r="X242" s="223">
        <f t="shared" si="105"/>
        <v>0</v>
      </c>
      <c r="Y242" s="223">
        <f t="shared" si="105"/>
        <v>0</v>
      </c>
      <c r="Z242" s="223">
        <f t="shared" si="105"/>
        <v>0</v>
      </c>
      <c r="AA242" s="223">
        <f t="shared" si="105"/>
        <v>1703614</v>
      </c>
      <c r="AB242" s="223">
        <f t="shared" si="105"/>
        <v>1639931</v>
      </c>
      <c r="AC242" s="247">
        <f t="shared" si="105"/>
        <v>1345376</v>
      </c>
      <c r="AD242" s="223">
        <f t="shared" si="105"/>
        <v>0</v>
      </c>
      <c r="AE242" s="223">
        <f t="shared" si="105"/>
        <v>0</v>
      </c>
    </row>
    <row r="243" spans="1:31" ht="33.75" x14ac:dyDescent="0.2">
      <c r="A243" s="227"/>
      <c r="B243" s="227"/>
      <c r="C243" s="228" t="s">
        <v>251</v>
      </c>
      <c r="D243" s="229" t="s">
        <v>429</v>
      </c>
      <c r="E243" s="230" t="s">
        <v>307</v>
      </c>
      <c r="F243" s="231">
        <v>17548.39</v>
      </c>
      <c r="G243" s="232">
        <f t="shared" si="92"/>
        <v>0.50138257142857146</v>
      </c>
      <c r="H243" s="233">
        <v>30731.08</v>
      </c>
      <c r="I243" s="234">
        <f>K243</f>
        <v>40000</v>
      </c>
      <c r="J243" s="936">
        <f t="shared" si="93"/>
        <v>1.1428571428571428</v>
      </c>
      <c r="K243" s="241">
        <f>L243+S243+T243</f>
        <v>40000</v>
      </c>
      <c r="L243" s="236">
        <f>SUM(M243:R243)</f>
        <v>40000</v>
      </c>
      <c r="M243" s="236"/>
      <c r="N243" s="236"/>
      <c r="O243" s="236"/>
      <c r="P243" s="236">
        <v>40000</v>
      </c>
      <c r="Q243" s="236"/>
      <c r="R243" s="236"/>
      <c r="S243" s="236"/>
      <c r="T243" s="236">
        <f>SUM(U243:AD243)</f>
        <v>0</v>
      </c>
      <c r="U243" s="236"/>
      <c r="V243" s="236"/>
      <c r="W243" s="236"/>
      <c r="X243" s="236"/>
      <c r="Y243" s="236"/>
      <c r="Z243" s="236"/>
      <c r="AA243" s="236"/>
      <c r="AB243" s="236"/>
      <c r="AC243" s="236"/>
      <c r="AD243" s="236"/>
      <c r="AE243" s="236"/>
    </row>
    <row r="244" spans="1:31" ht="22.5" x14ac:dyDescent="0.2">
      <c r="A244" s="227"/>
      <c r="B244" s="227"/>
      <c r="C244" s="228" t="s">
        <v>657</v>
      </c>
      <c r="D244" s="229" t="s">
        <v>658</v>
      </c>
      <c r="E244" s="230" t="s">
        <v>659</v>
      </c>
      <c r="F244" s="231">
        <v>1008047.76</v>
      </c>
      <c r="G244" s="232">
        <f t="shared" si="92"/>
        <v>0.69353344824894958</v>
      </c>
      <c r="H244" s="233">
        <v>1428998</v>
      </c>
      <c r="I244" s="234">
        <f t="shared" ref="I244:I264" si="106">K244</f>
        <v>1560000</v>
      </c>
      <c r="J244" s="936">
        <f t="shared" si="93"/>
        <v>1.0732747218925036</v>
      </c>
      <c r="K244" s="241">
        <f t="shared" ref="K244:K264" si="107">L244+S244+T244</f>
        <v>1560000</v>
      </c>
      <c r="L244" s="236">
        <f t="shared" ref="L244:L264" si="108">SUM(M244:R244)</f>
        <v>1560000</v>
      </c>
      <c r="M244" s="236"/>
      <c r="N244" s="236"/>
      <c r="O244" s="236"/>
      <c r="P244" s="236">
        <f>1660000-100000</f>
        <v>1560000</v>
      </c>
      <c r="Q244" s="236"/>
      <c r="R244" s="236"/>
      <c r="S244" s="236"/>
      <c r="T244" s="236">
        <f t="shared" ref="T244:T264" si="109">SUM(U244:AD244)</f>
        <v>0</v>
      </c>
      <c r="U244" s="236"/>
      <c r="V244" s="236"/>
      <c r="W244" s="236"/>
      <c r="X244" s="236"/>
      <c r="Y244" s="236"/>
      <c r="Z244" s="236"/>
      <c r="AA244" s="236"/>
      <c r="AB244" s="236"/>
      <c r="AC244" s="236"/>
      <c r="AD244" s="236"/>
      <c r="AE244" s="236"/>
    </row>
    <row r="245" spans="1:31" x14ac:dyDescent="0.2">
      <c r="A245" s="227"/>
      <c r="B245" s="227"/>
      <c r="C245" s="228" t="s">
        <v>491</v>
      </c>
      <c r="D245" s="229" t="s">
        <v>492</v>
      </c>
      <c r="E245" s="230" t="s">
        <v>660</v>
      </c>
      <c r="F245" s="231">
        <v>40428.6</v>
      </c>
      <c r="G245" s="232">
        <f t="shared" si="92"/>
        <v>0.44514594642208299</v>
      </c>
      <c r="H245" s="230" t="s">
        <v>660</v>
      </c>
      <c r="I245" s="234">
        <f t="shared" si="106"/>
        <v>61337</v>
      </c>
      <c r="J245" s="936">
        <f t="shared" si="93"/>
        <v>0.67536142522103915</v>
      </c>
      <c r="K245" s="241">
        <f t="shared" si="107"/>
        <v>61337</v>
      </c>
      <c r="L245" s="236">
        <f t="shared" si="108"/>
        <v>0</v>
      </c>
      <c r="M245" s="236"/>
      <c r="N245" s="236"/>
      <c r="O245" s="236"/>
      <c r="P245" s="236"/>
      <c r="Q245" s="236"/>
      <c r="R245" s="236"/>
      <c r="S245" s="236"/>
      <c r="T245" s="236">
        <f t="shared" si="109"/>
        <v>61337</v>
      </c>
      <c r="U245" s="236"/>
      <c r="V245" s="236"/>
      <c r="W245" s="236"/>
      <c r="X245" s="236"/>
      <c r="Y245" s="236"/>
      <c r="Z245" s="236"/>
      <c r="AA245" s="236">
        <v>8763</v>
      </c>
      <c r="AB245" s="236">
        <v>7661</v>
      </c>
      <c r="AC245" s="236">
        <v>44913</v>
      </c>
      <c r="AD245" s="236"/>
      <c r="AE245" s="236"/>
    </row>
    <row r="246" spans="1:31" x14ac:dyDescent="0.2">
      <c r="A246" s="227"/>
      <c r="B246" s="227"/>
      <c r="C246" s="228" t="s">
        <v>401</v>
      </c>
      <c r="D246" s="229" t="s">
        <v>402</v>
      </c>
      <c r="E246" s="230" t="s">
        <v>661</v>
      </c>
      <c r="F246" s="231">
        <v>1764799.67</v>
      </c>
      <c r="G246" s="232">
        <f t="shared" si="92"/>
        <v>0.72953251863286672</v>
      </c>
      <c r="H246" s="230" t="s">
        <v>661</v>
      </c>
      <c r="I246" s="234">
        <f t="shared" si="106"/>
        <v>2743400</v>
      </c>
      <c r="J246" s="936">
        <f t="shared" si="93"/>
        <v>1.1340661184605767</v>
      </c>
      <c r="K246" s="241">
        <f t="shared" si="107"/>
        <v>2743400</v>
      </c>
      <c r="L246" s="236">
        <f t="shared" si="108"/>
        <v>0</v>
      </c>
      <c r="M246" s="236"/>
      <c r="N246" s="236"/>
      <c r="O246" s="236"/>
      <c r="P246" s="236"/>
      <c r="Q246" s="236"/>
      <c r="R246" s="236"/>
      <c r="S246" s="236"/>
      <c r="T246" s="236">
        <f t="shared" si="109"/>
        <v>2743400</v>
      </c>
      <c r="U246" s="236"/>
      <c r="V246" s="236"/>
      <c r="W246" s="236"/>
      <c r="X246" s="236"/>
      <c r="Y246" s="236"/>
      <c r="Z246" s="236"/>
      <c r="AA246" s="236">
        <v>967400</v>
      </c>
      <c r="AB246" s="236">
        <v>982200</v>
      </c>
      <c r="AC246" s="236">
        <v>793800</v>
      </c>
      <c r="AD246" s="236"/>
      <c r="AE246" s="236"/>
    </row>
    <row r="247" spans="1:31" x14ac:dyDescent="0.2">
      <c r="A247" s="227"/>
      <c r="B247" s="227"/>
      <c r="C247" s="228" t="s">
        <v>495</v>
      </c>
      <c r="D247" s="229" t="s">
        <v>496</v>
      </c>
      <c r="E247" s="230" t="s">
        <v>662</v>
      </c>
      <c r="F247" s="231">
        <v>176153.26</v>
      </c>
      <c r="G247" s="232">
        <f t="shared" si="92"/>
        <v>0.99999545852079719</v>
      </c>
      <c r="H247" s="230" t="s">
        <v>662</v>
      </c>
      <c r="I247" s="234">
        <f t="shared" si="106"/>
        <v>205723</v>
      </c>
      <c r="J247" s="936">
        <f t="shared" si="93"/>
        <v>1.167858407578003</v>
      </c>
      <c r="K247" s="241">
        <f t="shared" si="107"/>
        <v>205723</v>
      </c>
      <c r="L247" s="236">
        <f t="shared" si="108"/>
        <v>0</v>
      </c>
      <c r="M247" s="236"/>
      <c r="N247" s="236"/>
      <c r="O247" s="236"/>
      <c r="P247" s="236"/>
      <c r="Q247" s="236"/>
      <c r="R247" s="236"/>
      <c r="S247" s="236"/>
      <c r="T247" s="236">
        <f t="shared" si="109"/>
        <v>205723</v>
      </c>
      <c r="U247" s="236"/>
      <c r="V247" s="236"/>
      <c r="W247" s="236"/>
      <c r="X247" s="236"/>
      <c r="Y247" s="236"/>
      <c r="Z247" s="236"/>
      <c r="AA247" s="236">
        <v>73016</v>
      </c>
      <c r="AB247" s="236">
        <v>70200</v>
      </c>
      <c r="AC247" s="236">
        <v>62507</v>
      </c>
      <c r="AD247" s="236"/>
      <c r="AE247" s="236"/>
    </row>
    <row r="248" spans="1:31" x14ac:dyDescent="0.2">
      <c r="A248" s="227"/>
      <c r="B248" s="227"/>
      <c r="C248" s="228" t="s">
        <v>404</v>
      </c>
      <c r="D248" s="229" t="s">
        <v>405</v>
      </c>
      <c r="E248" s="230" t="s">
        <v>663</v>
      </c>
      <c r="F248" s="231">
        <v>337737.63</v>
      </c>
      <c r="G248" s="232">
        <f t="shared" si="92"/>
        <v>0.74733091856761935</v>
      </c>
      <c r="H248" s="230" t="s">
        <v>663</v>
      </c>
      <c r="I248" s="234">
        <f t="shared" si="106"/>
        <v>488936</v>
      </c>
      <c r="J248" s="936">
        <f t="shared" si="93"/>
        <v>1.0818959971998903</v>
      </c>
      <c r="K248" s="241">
        <f t="shared" si="107"/>
        <v>488936</v>
      </c>
      <c r="L248" s="236">
        <f t="shared" si="108"/>
        <v>0</v>
      </c>
      <c r="M248" s="236"/>
      <c r="N248" s="236"/>
      <c r="O248" s="236"/>
      <c r="P248" s="236"/>
      <c r="Q248" s="236"/>
      <c r="R248" s="236"/>
      <c r="S248" s="236"/>
      <c r="T248" s="236">
        <f t="shared" si="109"/>
        <v>488936</v>
      </c>
      <c r="U248" s="236"/>
      <c r="V248" s="236"/>
      <c r="W248" s="236"/>
      <c r="X248" s="236"/>
      <c r="Y248" s="236"/>
      <c r="Z248" s="236"/>
      <c r="AA248" s="236">
        <v>173484</v>
      </c>
      <c r="AB248" s="236">
        <v>167271</v>
      </c>
      <c r="AC248" s="236">
        <v>148181</v>
      </c>
      <c r="AD248" s="236"/>
      <c r="AE248" s="236"/>
    </row>
    <row r="249" spans="1:31" x14ac:dyDescent="0.2">
      <c r="A249" s="227"/>
      <c r="B249" s="227"/>
      <c r="C249" s="228" t="s">
        <v>407</v>
      </c>
      <c r="D249" s="229" t="s">
        <v>408</v>
      </c>
      <c r="E249" s="230" t="s">
        <v>664</v>
      </c>
      <c r="F249" s="231">
        <v>40824.99</v>
      </c>
      <c r="G249" s="232">
        <f t="shared" si="92"/>
        <v>0.6458730560521444</v>
      </c>
      <c r="H249" s="230" t="s">
        <v>664</v>
      </c>
      <c r="I249" s="234">
        <f t="shared" si="106"/>
        <v>69426</v>
      </c>
      <c r="J249" s="936">
        <f t="shared" si="93"/>
        <v>1.0983562467370154</v>
      </c>
      <c r="K249" s="241">
        <f t="shared" si="107"/>
        <v>69426</v>
      </c>
      <c r="L249" s="236">
        <f t="shared" si="108"/>
        <v>0</v>
      </c>
      <c r="M249" s="236"/>
      <c r="N249" s="236"/>
      <c r="O249" s="236"/>
      <c r="P249" s="236"/>
      <c r="Q249" s="236"/>
      <c r="R249" s="236"/>
      <c r="S249" s="236"/>
      <c r="T249" s="236">
        <f t="shared" si="109"/>
        <v>69426</v>
      </c>
      <c r="U249" s="236"/>
      <c r="V249" s="236"/>
      <c r="W249" s="236"/>
      <c r="X249" s="236"/>
      <c r="Y249" s="236"/>
      <c r="Z249" s="236"/>
      <c r="AA249" s="236">
        <v>24451</v>
      </c>
      <c r="AB249" s="236">
        <v>23966</v>
      </c>
      <c r="AC249" s="236">
        <v>21009</v>
      </c>
      <c r="AD249" s="236"/>
      <c r="AE249" s="236"/>
    </row>
    <row r="250" spans="1:31" x14ac:dyDescent="0.2">
      <c r="A250" s="227"/>
      <c r="B250" s="227"/>
      <c r="C250" s="228" t="s">
        <v>420</v>
      </c>
      <c r="D250" s="229" t="s">
        <v>421</v>
      </c>
      <c r="E250" s="230" t="s">
        <v>161</v>
      </c>
      <c r="F250" s="231">
        <v>2786.52</v>
      </c>
      <c r="G250" s="232">
        <f t="shared" si="92"/>
        <v>0.46442</v>
      </c>
      <c r="H250" s="230" t="s">
        <v>161</v>
      </c>
      <c r="I250" s="234">
        <f t="shared" si="106"/>
        <v>8500</v>
      </c>
      <c r="J250" s="936">
        <f t="shared" si="93"/>
        <v>1.4166666666666667</v>
      </c>
      <c r="K250" s="241">
        <f t="shared" si="107"/>
        <v>8500</v>
      </c>
      <c r="L250" s="236">
        <f t="shared" si="108"/>
        <v>0</v>
      </c>
      <c r="M250" s="236"/>
      <c r="N250" s="236"/>
      <c r="O250" s="236"/>
      <c r="P250" s="236"/>
      <c r="Q250" s="236"/>
      <c r="R250" s="236"/>
      <c r="S250" s="236"/>
      <c r="T250" s="236">
        <f t="shared" si="109"/>
        <v>8500</v>
      </c>
      <c r="U250" s="236"/>
      <c r="V250" s="236"/>
      <c r="W250" s="236"/>
      <c r="X250" s="236"/>
      <c r="Y250" s="236"/>
      <c r="Z250" s="236"/>
      <c r="AA250" s="236">
        <v>2500</v>
      </c>
      <c r="AB250" s="236">
        <v>5000</v>
      </c>
      <c r="AC250" s="236">
        <v>1000</v>
      </c>
      <c r="AD250" s="236"/>
      <c r="AE250" s="236"/>
    </row>
    <row r="251" spans="1:31" x14ac:dyDescent="0.2">
      <c r="A251" s="227"/>
      <c r="B251" s="227"/>
      <c r="C251" s="228" t="s">
        <v>410</v>
      </c>
      <c r="D251" s="229" t="s">
        <v>411</v>
      </c>
      <c r="E251" s="230" t="s">
        <v>665</v>
      </c>
      <c r="F251" s="231">
        <v>73244.41</v>
      </c>
      <c r="G251" s="232">
        <f t="shared" si="92"/>
        <v>0.55826532012195129</v>
      </c>
      <c r="H251" s="230" t="s">
        <v>665</v>
      </c>
      <c r="I251" s="234">
        <f t="shared" si="106"/>
        <v>146000</v>
      </c>
      <c r="J251" s="936">
        <f t="shared" si="93"/>
        <v>1.1128048780487805</v>
      </c>
      <c r="K251" s="241">
        <f t="shared" si="107"/>
        <v>146000</v>
      </c>
      <c r="L251" s="236">
        <f t="shared" si="108"/>
        <v>500</v>
      </c>
      <c r="M251" s="236"/>
      <c r="N251" s="236"/>
      <c r="O251" s="236"/>
      <c r="P251" s="236"/>
      <c r="Q251" s="236"/>
      <c r="R251" s="236">
        <v>500</v>
      </c>
      <c r="S251" s="236"/>
      <c r="T251" s="236">
        <f t="shared" si="109"/>
        <v>145500</v>
      </c>
      <c r="U251" s="236"/>
      <c r="V251" s="236"/>
      <c r="W251" s="236"/>
      <c r="X251" s="236"/>
      <c r="Y251" s="236"/>
      <c r="Z251" s="236"/>
      <c r="AA251" s="236">
        <v>50000</v>
      </c>
      <c r="AB251" s="236">
        <f>48000-10000</f>
        <v>38000</v>
      </c>
      <c r="AC251" s="236">
        <v>57500</v>
      </c>
      <c r="AD251" s="236"/>
      <c r="AE251" s="236"/>
    </row>
    <row r="252" spans="1:31" x14ac:dyDescent="0.2">
      <c r="A252" s="227"/>
      <c r="B252" s="227"/>
      <c r="C252" s="228" t="s">
        <v>666</v>
      </c>
      <c r="D252" s="229" t="s">
        <v>667</v>
      </c>
      <c r="E252" s="230" t="s">
        <v>248</v>
      </c>
      <c r="F252" s="231">
        <v>237683.93</v>
      </c>
      <c r="G252" s="232">
        <f t="shared" si="92"/>
        <v>0.56284527220630376</v>
      </c>
      <c r="H252" s="230">
        <v>343574</v>
      </c>
      <c r="I252" s="234">
        <f t="shared" si="106"/>
        <v>434430</v>
      </c>
      <c r="J252" s="936">
        <f t="shared" si="93"/>
        <v>1.0287480167657297</v>
      </c>
      <c r="K252" s="241">
        <f t="shared" si="107"/>
        <v>434430</v>
      </c>
      <c r="L252" s="236">
        <f t="shared" si="108"/>
        <v>0</v>
      </c>
      <c r="M252" s="236"/>
      <c r="N252" s="236"/>
      <c r="O252" s="236"/>
      <c r="P252" s="236"/>
      <c r="Q252" s="236"/>
      <c r="R252" s="236"/>
      <c r="S252" s="236"/>
      <c r="T252" s="236">
        <f t="shared" si="109"/>
        <v>434430</v>
      </c>
      <c r="U252" s="236"/>
      <c r="V252" s="236"/>
      <c r="W252" s="236"/>
      <c r="X252" s="236"/>
      <c r="Y252" s="236"/>
      <c r="Z252" s="236"/>
      <c r="AA252" s="236">
        <v>170000</v>
      </c>
      <c r="AB252" s="236">
        <v>142000</v>
      </c>
      <c r="AC252" s="236">
        <v>122430</v>
      </c>
      <c r="AD252" s="236"/>
      <c r="AE252" s="236"/>
    </row>
    <row r="253" spans="1:31" x14ac:dyDescent="0.2">
      <c r="A253" s="227"/>
      <c r="B253" s="227"/>
      <c r="C253" s="228" t="s">
        <v>630</v>
      </c>
      <c r="D253" s="229" t="s">
        <v>631</v>
      </c>
      <c r="E253" s="230" t="s">
        <v>559</v>
      </c>
      <c r="F253" s="231">
        <v>6000.32</v>
      </c>
      <c r="G253" s="232">
        <f t="shared" si="92"/>
        <v>0.40002133333333334</v>
      </c>
      <c r="H253" s="230" t="s">
        <v>559</v>
      </c>
      <c r="I253" s="234">
        <f t="shared" si="106"/>
        <v>20000</v>
      </c>
      <c r="J253" s="936">
        <f t="shared" si="93"/>
        <v>1.3333333333333333</v>
      </c>
      <c r="K253" s="241">
        <f t="shared" si="107"/>
        <v>20000</v>
      </c>
      <c r="L253" s="236">
        <f t="shared" si="108"/>
        <v>0</v>
      </c>
      <c r="M253" s="236"/>
      <c r="N253" s="236"/>
      <c r="O253" s="236"/>
      <c r="P253" s="236"/>
      <c r="Q253" s="236"/>
      <c r="R253" s="236"/>
      <c r="S253" s="236"/>
      <c r="T253" s="236">
        <f t="shared" si="109"/>
        <v>20000</v>
      </c>
      <c r="U253" s="236"/>
      <c r="V253" s="236"/>
      <c r="W253" s="236"/>
      <c r="X253" s="236"/>
      <c r="Y253" s="236"/>
      <c r="Z253" s="236"/>
      <c r="AA253" s="236">
        <v>5000</v>
      </c>
      <c r="AB253" s="236">
        <v>7000</v>
      </c>
      <c r="AC253" s="236">
        <v>8000</v>
      </c>
      <c r="AD253" s="236"/>
      <c r="AE253" s="236"/>
    </row>
    <row r="254" spans="1:31" x14ac:dyDescent="0.2">
      <c r="A254" s="227"/>
      <c r="B254" s="227"/>
      <c r="C254" s="228" t="s">
        <v>424</v>
      </c>
      <c r="D254" s="229" t="s">
        <v>425</v>
      </c>
      <c r="E254" s="230" t="s">
        <v>668</v>
      </c>
      <c r="F254" s="231">
        <v>172143.27</v>
      </c>
      <c r="G254" s="232">
        <f t="shared" si="92"/>
        <v>0.69133843373493975</v>
      </c>
      <c r="H254" s="230" t="s">
        <v>668</v>
      </c>
      <c r="I254" s="234">
        <f t="shared" si="106"/>
        <v>253000</v>
      </c>
      <c r="J254" s="936">
        <f t="shared" si="93"/>
        <v>1.0160642570281124</v>
      </c>
      <c r="K254" s="241">
        <f t="shared" si="107"/>
        <v>253000</v>
      </c>
      <c r="L254" s="236">
        <f t="shared" si="108"/>
        <v>0</v>
      </c>
      <c r="M254" s="236"/>
      <c r="N254" s="236"/>
      <c r="O254" s="236"/>
      <c r="P254" s="236"/>
      <c r="Q254" s="236"/>
      <c r="R254" s="236"/>
      <c r="S254" s="236"/>
      <c r="T254" s="236">
        <f t="shared" si="109"/>
        <v>253000</v>
      </c>
      <c r="U254" s="236"/>
      <c r="V254" s="236"/>
      <c r="W254" s="236"/>
      <c r="X254" s="236"/>
      <c r="Y254" s="236"/>
      <c r="Z254" s="236"/>
      <c r="AA254" s="236">
        <v>135000</v>
      </c>
      <c r="AB254" s="236">
        <v>100000</v>
      </c>
      <c r="AC254" s="236">
        <v>18000</v>
      </c>
      <c r="AD254" s="236"/>
      <c r="AE254" s="236"/>
    </row>
    <row r="255" spans="1:31" x14ac:dyDescent="0.2">
      <c r="A255" s="227"/>
      <c r="B255" s="227"/>
      <c r="C255" s="228" t="s">
        <v>438</v>
      </c>
      <c r="D255" s="229" t="s">
        <v>439</v>
      </c>
      <c r="E255" s="230" t="s">
        <v>669</v>
      </c>
      <c r="F255" s="231">
        <v>27922</v>
      </c>
      <c r="G255" s="232">
        <f t="shared" si="92"/>
        <v>0.7577204884667571</v>
      </c>
      <c r="H255" s="230" t="s">
        <v>669</v>
      </c>
      <c r="I255" s="234">
        <f t="shared" si="106"/>
        <v>16500</v>
      </c>
      <c r="J255" s="936">
        <f t="shared" si="93"/>
        <v>0.44776119402985076</v>
      </c>
      <c r="K255" s="241">
        <f t="shared" si="107"/>
        <v>16500</v>
      </c>
      <c r="L255" s="236">
        <f t="shared" si="108"/>
        <v>0</v>
      </c>
      <c r="M255" s="236"/>
      <c r="N255" s="236"/>
      <c r="O255" s="236"/>
      <c r="P255" s="236"/>
      <c r="Q255" s="236"/>
      <c r="R255" s="236"/>
      <c r="S255" s="236"/>
      <c r="T255" s="236">
        <f t="shared" si="109"/>
        <v>16500</v>
      </c>
      <c r="U255" s="236"/>
      <c r="V255" s="236"/>
      <c r="W255" s="236"/>
      <c r="X255" s="236"/>
      <c r="Y255" s="236"/>
      <c r="Z255" s="236"/>
      <c r="AA255" s="236">
        <v>8500</v>
      </c>
      <c r="AB255" s="236">
        <v>4000</v>
      </c>
      <c r="AC255" s="236">
        <v>4000</v>
      </c>
      <c r="AD255" s="236"/>
      <c r="AE255" s="236"/>
    </row>
    <row r="256" spans="1:31" x14ac:dyDescent="0.2">
      <c r="A256" s="227"/>
      <c r="B256" s="227"/>
      <c r="C256" s="228" t="s">
        <v>524</v>
      </c>
      <c r="D256" s="229" t="s">
        <v>525</v>
      </c>
      <c r="E256" s="230" t="s">
        <v>670</v>
      </c>
      <c r="F256" s="231">
        <v>6342</v>
      </c>
      <c r="G256" s="232">
        <f t="shared" si="92"/>
        <v>0.82363636363636361</v>
      </c>
      <c r="H256" s="230" t="s">
        <v>670</v>
      </c>
      <c r="I256" s="234">
        <f t="shared" si="106"/>
        <v>6000</v>
      </c>
      <c r="J256" s="936">
        <f t="shared" si="93"/>
        <v>0.77922077922077926</v>
      </c>
      <c r="K256" s="241">
        <f t="shared" si="107"/>
        <v>6000</v>
      </c>
      <c r="L256" s="236">
        <f t="shared" si="108"/>
        <v>0</v>
      </c>
      <c r="M256" s="236"/>
      <c r="N256" s="236"/>
      <c r="O256" s="236"/>
      <c r="P256" s="236"/>
      <c r="Q256" s="236"/>
      <c r="R256" s="236"/>
      <c r="S256" s="236"/>
      <c r="T256" s="236">
        <f t="shared" si="109"/>
        <v>6000</v>
      </c>
      <c r="U256" s="236"/>
      <c r="V256" s="236"/>
      <c r="W256" s="236"/>
      <c r="X256" s="236"/>
      <c r="Y256" s="236"/>
      <c r="Z256" s="236"/>
      <c r="AA256" s="236">
        <v>2500</v>
      </c>
      <c r="AB256" s="236">
        <v>2500</v>
      </c>
      <c r="AC256" s="236">
        <v>1000</v>
      </c>
      <c r="AD256" s="236"/>
      <c r="AE256" s="236"/>
    </row>
    <row r="257" spans="1:31" x14ac:dyDescent="0.2">
      <c r="A257" s="227"/>
      <c r="B257" s="227"/>
      <c r="C257" s="228" t="s">
        <v>413</v>
      </c>
      <c r="D257" s="229" t="s">
        <v>414</v>
      </c>
      <c r="E257" s="230" t="s">
        <v>671</v>
      </c>
      <c r="F257" s="231">
        <v>55147.01</v>
      </c>
      <c r="G257" s="232">
        <f t="shared" si="92"/>
        <v>0.67252451219512199</v>
      </c>
      <c r="H257" s="230" t="s">
        <v>671</v>
      </c>
      <c r="I257" s="234">
        <f t="shared" si="106"/>
        <v>85000</v>
      </c>
      <c r="J257" s="936">
        <f t="shared" si="93"/>
        <v>1.0365853658536586</v>
      </c>
      <c r="K257" s="241">
        <f t="shared" si="107"/>
        <v>85000</v>
      </c>
      <c r="L257" s="236">
        <f t="shared" si="108"/>
        <v>0</v>
      </c>
      <c r="M257" s="236"/>
      <c r="N257" s="236"/>
      <c r="O257" s="236"/>
      <c r="P257" s="236"/>
      <c r="Q257" s="236"/>
      <c r="R257" s="236"/>
      <c r="S257" s="236"/>
      <c r="T257" s="236">
        <f t="shared" si="109"/>
        <v>85000</v>
      </c>
      <c r="U257" s="236"/>
      <c r="V257" s="236"/>
      <c r="W257" s="236"/>
      <c r="X257" s="236"/>
      <c r="Y257" s="236"/>
      <c r="Z257" s="236"/>
      <c r="AA257" s="236">
        <v>35000</v>
      </c>
      <c r="AB257" s="236">
        <v>35000</v>
      </c>
      <c r="AC257" s="236">
        <v>15000</v>
      </c>
      <c r="AD257" s="236"/>
      <c r="AE257" s="236"/>
    </row>
    <row r="258" spans="1:31" ht="22.5" x14ac:dyDescent="0.2">
      <c r="A258" s="227"/>
      <c r="B258" s="227"/>
      <c r="C258" s="228" t="s">
        <v>637</v>
      </c>
      <c r="D258" s="229" t="s">
        <v>638</v>
      </c>
      <c r="E258" s="230" t="s">
        <v>672</v>
      </c>
      <c r="F258" s="231">
        <v>37017.18</v>
      </c>
      <c r="G258" s="232">
        <f t="shared" si="92"/>
        <v>0.58757428571428572</v>
      </c>
      <c r="H258" s="233">
        <v>61895.46</v>
      </c>
      <c r="I258" s="234">
        <f t="shared" si="106"/>
        <v>65000</v>
      </c>
      <c r="J258" s="936">
        <f t="shared" si="93"/>
        <v>1.0317460317460319</v>
      </c>
      <c r="K258" s="241">
        <f t="shared" si="107"/>
        <v>65000</v>
      </c>
      <c r="L258" s="236">
        <f t="shared" si="108"/>
        <v>65000</v>
      </c>
      <c r="M258" s="236"/>
      <c r="N258" s="236"/>
      <c r="O258" s="236"/>
      <c r="P258" s="236">
        <v>65000</v>
      </c>
      <c r="Q258" s="236"/>
      <c r="R258" s="236"/>
      <c r="S258" s="236"/>
      <c r="T258" s="236">
        <f t="shared" si="109"/>
        <v>0</v>
      </c>
      <c r="U258" s="236"/>
      <c r="V258" s="236"/>
      <c r="W258" s="236"/>
      <c r="X258" s="236"/>
      <c r="Y258" s="236"/>
      <c r="Z258" s="236"/>
      <c r="AA258" s="236">
        <v>0</v>
      </c>
      <c r="AB258" s="236">
        <v>0</v>
      </c>
      <c r="AC258" s="236">
        <v>0</v>
      </c>
      <c r="AD258" s="236"/>
      <c r="AE258" s="236"/>
    </row>
    <row r="259" spans="1:31" x14ac:dyDescent="0.2">
      <c r="A259" s="227"/>
      <c r="B259" s="227"/>
      <c r="C259" s="228" t="s">
        <v>451</v>
      </c>
      <c r="D259" s="229" t="s">
        <v>452</v>
      </c>
      <c r="E259" s="230" t="s">
        <v>673</v>
      </c>
      <c r="F259" s="231">
        <v>3337.91</v>
      </c>
      <c r="G259" s="232">
        <f t="shared" si="92"/>
        <v>0.54719836065573768</v>
      </c>
      <c r="H259" s="233">
        <v>5006.87</v>
      </c>
      <c r="I259" s="234">
        <f t="shared" si="106"/>
        <v>6800</v>
      </c>
      <c r="J259" s="936">
        <f t="shared" si="93"/>
        <v>1.1147540983606556</v>
      </c>
      <c r="K259" s="241">
        <f t="shared" si="107"/>
        <v>6800</v>
      </c>
      <c r="L259" s="236">
        <f t="shared" si="108"/>
        <v>0</v>
      </c>
      <c r="M259" s="236"/>
      <c r="N259" s="236"/>
      <c r="O259" s="236"/>
      <c r="P259" s="236"/>
      <c r="Q259" s="236"/>
      <c r="R259" s="236"/>
      <c r="S259" s="236"/>
      <c r="T259" s="236">
        <f t="shared" si="109"/>
        <v>6800</v>
      </c>
      <c r="U259" s="236"/>
      <c r="V259" s="236"/>
      <c r="W259" s="236"/>
      <c r="X259" s="236"/>
      <c r="Y259" s="236"/>
      <c r="Z259" s="236"/>
      <c r="AA259" s="236">
        <v>2500</v>
      </c>
      <c r="AB259" s="236">
        <v>2500</v>
      </c>
      <c r="AC259" s="236">
        <v>1800</v>
      </c>
      <c r="AD259" s="236"/>
      <c r="AE259" s="236"/>
    </row>
    <row r="260" spans="1:31" x14ac:dyDescent="0.2">
      <c r="A260" s="227"/>
      <c r="B260" s="227"/>
      <c r="C260" s="228" t="s">
        <v>533</v>
      </c>
      <c r="D260" s="229" t="s">
        <v>534</v>
      </c>
      <c r="E260" s="230" t="s">
        <v>557</v>
      </c>
      <c r="F260" s="231">
        <v>998.3</v>
      </c>
      <c r="G260" s="232">
        <f t="shared" si="92"/>
        <v>0.33276666666666666</v>
      </c>
      <c r="H260" s="233">
        <v>2994.9</v>
      </c>
      <c r="I260" s="234">
        <f t="shared" si="106"/>
        <v>3500</v>
      </c>
      <c r="J260" s="936">
        <f t="shared" si="93"/>
        <v>1.1666666666666667</v>
      </c>
      <c r="K260" s="241">
        <f t="shared" si="107"/>
        <v>3500</v>
      </c>
      <c r="L260" s="236">
        <f t="shared" si="108"/>
        <v>0</v>
      </c>
      <c r="M260" s="236"/>
      <c r="N260" s="236"/>
      <c r="O260" s="236"/>
      <c r="P260" s="236"/>
      <c r="Q260" s="236"/>
      <c r="R260" s="236"/>
      <c r="S260" s="236"/>
      <c r="T260" s="236">
        <f t="shared" si="109"/>
        <v>3500</v>
      </c>
      <c r="U260" s="236"/>
      <c r="V260" s="236"/>
      <c r="W260" s="236"/>
      <c r="X260" s="236"/>
      <c r="Y260" s="236"/>
      <c r="Z260" s="236"/>
      <c r="AA260" s="236">
        <v>1000</v>
      </c>
      <c r="AB260" s="236">
        <v>1000</v>
      </c>
      <c r="AC260" s="236">
        <v>1500</v>
      </c>
      <c r="AD260" s="236"/>
      <c r="AE260" s="236"/>
    </row>
    <row r="261" spans="1:31" x14ac:dyDescent="0.2">
      <c r="A261" s="227"/>
      <c r="B261" s="227"/>
      <c r="C261" s="228" t="s">
        <v>416</v>
      </c>
      <c r="D261" s="229" t="s">
        <v>417</v>
      </c>
      <c r="E261" s="230" t="s">
        <v>674</v>
      </c>
      <c r="F261" s="231">
        <v>1256.5</v>
      </c>
      <c r="G261" s="232">
        <f t="shared" si="92"/>
        <v>0.52136929460580916</v>
      </c>
      <c r="H261" s="233">
        <v>2410</v>
      </c>
      <c r="I261" s="234">
        <f t="shared" si="106"/>
        <v>2800</v>
      </c>
      <c r="J261" s="936">
        <f t="shared" si="93"/>
        <v>1.1618257261410789</v>
      </c>
      <c r="K261" s="241">
        <f t="shared" si="107"/>
        <v>2800</v>
      </c>
      <c r="L261" s="236">
        <f t="shared" si="108"/>
        <v>0</v>
      </c>
      <c r="M261" s="236"/>
      <c r="N261" s="236"/>
      <c r="O261" s="236"/>
      <c r="P261" s="236"/>
      <c r="Q261" s="236"/>
      <c r="R261" s="236"/>
      <c r="S261" s="236"/>
      <c r="T261" s="236">
        <f t="shared" si="109"/>
        <v>2800</v>
      </c>
      <c r="U261" s="236"/>
      <c r="V261" s="236"/>
      <c r="W261" s="236"/>
      <c r="X261" s="236"/>
      <c r="Y261" s="236"/>
      <c r="Z261" s="236"/>
      <c r="AA261" s="236">
        <v>500</v>
      </c>
      <c r="AB261" s="236">
        <v>1500</v>
      </c>
      <c r="AC261" s="236">
        <v>800</v>
      </c>
      <c r="AD261" s="236"/>
      <c r="AE261" s="236"/>
    </row>
    <row r="262" spans="1:31" x14ac:dyDescent="0.2">
      <c r="A262" s="227"/>
      <c r="B262" s="227"/>
      <c r="C262" s="228" t="s">
        <v>537</v>
      </c>
      <c r="D262" s="229" t="s">
        <v>538</v>
      </c>
      <c r="E262" s="230" t="s">
        <v>675</v>
      </c>
      <c r="F262" s="231">
        <v>127286</v>
      </c>
      <c r="G262" s="232">
        <f t="shared" si="92"/>
        <v>1</v>
      </c>
      <c r="H262" s="233">
        <v>127286</v>
      </c>
      <c r="I262" s="234">
        <f t="shared" si="106"/>
        <v>136199</v>
      </c>
      <c r="J262" s="936">
        <f t="shared" si="93"/>
        <v>1.0700234118441934</v>
      </c>
      <c r="K262" s="241">
        <f t="shared" si="107"/>
        <v>136199</v>
      </c>
      <c r="L262" s="236">
        <f t="shared" si="108"/>
        <v>0</v>
      </c>
      <c r="M262" s="236"/>
      <c r="N262" s="236"/>
      <c r="O262" s="236"/>
      <c r="P262" s="236"/>
      <c r="Q262" s="236"/>
      <c r="R262" s="236"/>
      <c r="S262" s="236"/>
      <c r="T262" s="236">
        <f t="shared" si="109"/>
        <v>136199</v>
      </c>
      <c r="U262" s="236"/>
      <c r="V262" s="236"/>
      <c r="W262" s="236"/>
      <c r="X262" s="236"/>
      <c r="Y262" s="236"/>
      <c r="Z262" s="236"/>
      <c r="AA262" s="236">
        <v>43500</v>
      </c>
      <c r="AB262" s="236">
        <v>49363</v>
      </c>
      <c r="AC262" s="236">
        <v>43336</v>
      </c>
      <c r="AD262" s="236"/>
      <c r="AE262" s="236"/>
    </row>
    <row r="263" spans="1:31" x14ac:dyDescent="0.2">
      <c r="A263" s="227"/>
      <c r="B263" s="227"/>
      <c r="C263" s="228" t="s">
        <v>643</v>
      </c>
      <c r="D263" s="229" t="s">
        <v>644</v>
      </c>
      <c r="E263" s="230" t="s">
        <v>676</v>
      </c>
      <c r="F263" s="231">
        <v>323</v>
      </c>
      <c r="G263" s="232">
        <f t="shared" si="92"/>
        <v>0.8075</v>
      </c>
      <c r="H263" s="233">
        <v>323</v>
      </c>
      <c r="I263" s="234">
        <f t="shared" si="106"/>
        <v>370</v>
      </c>
      <c r="J263" s="936">
        <f t="shared" si="93"/>
        <v>0.92500000000000004</v>
      </c>
      <c r="K263" s="241">
        <f t="shared" si="107"/>
        <v>370</v>
      </c>
      <c r="L263" s="236">
        <f t="shared" si="108"/>
        <v>0</v>
      </c>
      <c r="M263" s="236"/>
      <c r="N263" s="236"/>
      <c r="O263" s="236"/>
      <c r="P263" s="236"/>
      <c r="Q263" s="236"/>
      <c r="R263" s="236"/>
      <c r="S263" s="236"/>
      <c r="T263" s="236">
        <f t="shared" si="109"/>
        <v>370</v>
      </c>
      <c r="U263" s="236"/>
      <c r="V263" s="236"/>
      <c r="W263" s="236"/>
      <c r="X263" s="236"/>
      <c r="Y263" s="236"/>
      <c r="Z263" s="236"/>
      <c r="AA263" s="236"/>
      <c r="AB263" s="236">
        <v>270</v>
      </c>
      <c r="AC263" s="236">
        <v>100</v>
      </c>
      <c r="AD263" s="236"/>
      <c r="AE263" s="236"/>
    </row>
    <row r="264" spans="1:31" ht="22.5" x14ac:dyDescent="0.2">
      <c r="A264" s="227"/>
      <c r="B264" s="227"/>
      <c r="C264" s="228" t="s">
        <v>540</v>
      </c>
      <c r="D264" s="229" t="s">
        <v>541</v>
      </c>
      <c r="E264" s="230" t="s">
        <v>453</v>
      </c>
      <c r="F264" s="231">
        <v>0</v>
      </c>
      <c r="G264" s="232">
        <f t="shared" si="92"/>
        <v>0</v>
      </c>
      <c r="H264" s="233">
        <v>0</v>
      </c>
      <c r="I264" s="234">
        <f t="shared" si="106"/>
        <v>1500</v>
      </c>
      <c r="J264" s="936">
        <f t="shared" si="93"/>
        <v>3</v>
      </c>
      <c r="K264" s="241">
        <f t="shared" si="107"/>
        <v>1500</v>
      </c>
      <c r="L264" s="236">
        <f t="shared" si="108"/>
        <v>0</v>
      </c>
      <c r="M264" s="236"/>
      <c r="N264" s="236"/>
      <c r="O264" s="236"/>
      <c r="P264" s="236"/>
      <c r="Q264" s="236"/>
      <c r="R264" s="236"/>
      <c r="S264" s="236"/>
      <c r="T264" s="236">
        <f t="shared" si="109"/>
        <v>1500</v>
      </c>
      <c r="U264" s="236"/>
      <c r="V264" s="236"/>
      <c r="W264" s="236"/>
      <c r="X264" s="236"/>
      <c r="Y264" s="236"/>
      <c r="Z264" s="236"/>
      <c r="AA264" s="236">
        <v>500</v>
      </c>
      <c r="AB264" s="236">
        <v>500</v>
      </c>
      <c r="AC264" s="236">
        <v>500</v>
      </c>
      <c r="AD264" s="236"/>
      <c r="AE264" s="236"/>
    </row>
    <row r="265" spans="1:31" ht="15" x14ac:dyDescent="0.2">
      <c r="A265" s="219"/>
      <c r="B265" s="220" t="s">
        <v>677</v>
      </c>
      <c r="C265" s="221"/>
      <c r="D265" s="222" t="s">
        <v>678</v>
      </c>
      <c r="E265" s="223">
        <f>E266+E267+E268+E269+E270+E271+E272+E273+E274+E275+E276+E277+E278+E279+E280+E281+E282+E283</f>
        <v>3198969.48</v>
      </c>
      <c r="F265" s="223">
        <f t="shared" ref="F265:AE265" si="110">F266+F267+F268+F269+F270+F271+F272+F273+F274+F275+F276+F277+F278+F279+F280+F281+F282+F283</f>
        <v>2490625.4500000002</v>
      </c>
      <c r="G265" s="238">
        <f t="shared" si="92"/>
        <v>0.77857118224210131</v>
      </c>
      <c r="H265" s="223">
        <f t="shared" si="110"/>
        <v>3169815.14</v>
      </c>
      <c r="I265" s="225">
        <f t="shared" si="110"/>
        <v>1834554</v>
      </c>
      <c r="J265" s="937">
        <f t="shared" si="93"/>
        <v>0.57348280796977158</v>
      </c>
      <c r="K265" s="925">
        <f t="shared" si="110"/>
        <v>1834554</v>
      </c>
      <c r="L265" s="223">
        <f t="shared" si="110"/>
        <v>760000</v>
      </c>
      <c r="M265" s="223">
        <f t="shared" si="110"/>
        <v>0</v>
      </c>
      <c r="N265" s="223">
        <f t="shared" si="110"/>
        <v>0</v>
      </c>
      <c r="O265" s="223">
        <f t="shared" si="110"/>
        <v>0</v>
      </c>
      <c r="P265" s="223">
        <f t="shared" si="110"/>
        <v>760000</v>
      </c>
      <c r="Q265" s="223">
        <f t="shared" si="110"/>
        <v>0</v>
      </c>
      <c r="R265" s="226">
        <f>R266+R267+R268+R269+R270+R271+R272+R273+R274+R275+R276+R277+R278+R279+R280+R281+R282+R283</f>
        <v>0</v>
      </c>
      <c r="S265" s="223">
        <f t="shared" si="110"/>
        <v>0</v>
      </c>
      <c r="T265" s="223">
        <f t="shared" si="110"/>
        <v>1074554</v>
      </c>
      <c r="U265" s="223">
        <f t="shared" si="110"/>
        <v>0</v>
      </c>
      <c r="V265" s="223">
        <f t="shared" si="110"/>
        <v>632007</v>
      </c>
      <c r="W265" s="223">
        <f t="shared" si="110"/>
        <v>0</v>
      </c>
      <c r="X265" s="223">
        <f t="shared" si="110"/>
        <v>220608</v>
      </c>
      <c r="Y265" s="223">
        <f t="shared" si="110"/>
        <v>221939</v>
      </c>
      <c r="Z265" s="223">
        <f t="shared" si="110"/>
        <v>0</v>
      </c>
      <c r="AA265" s="223">
        <f t="shared" si="110"/>
        <v>0</v>
      </c>
      <c r="AB265" s="223">
        <f t="shared" si="110"/>
        <v>0</v>
      </c>
      <c r="AC265" s="223">
        <f t="shared" si="110"/>
        <v>0</v>
      </c>
      <c r="AD265" s="223">
        <f t="shared" si="110"/>
        <v>0</v>
      </c>
      <c r="AE265" s="223">
        <f t="shared" si="110"/>
        <v>0</v>
      </c>
    </row>
    <row r="266" spans="1:31" ht="33.75" x14ac:dyDescent="0.2">
      <c r="A266" s="227"/>
      <c r="B266" s="227"/>
      <c r="C266" s="228" t="s">
        <v>679</v>
      </c>
      <c r="D266" s="229" t="s">
        <v>680</v>
      </c>
      <c r="E266" s="230" t="s">
        <v>681</v>
      </c>
      <c r="F266" s="231">
        <v>761541</v>
      </c>
      <c r="G266" s="232">
        <f t="shared" si="92"/>
        <v>0.84615666666666667</v>
      </c>
      <c r="H266" s="233">
        <v>900000</v>
      </c>
      <c r="I266" s="234">
        <f>K266</f>
        <v>520000</v>
      </c>
      <c r="J266" s="936">
        <f t="shared" si="93"/>
        <v>0.57777777777777772</v>
      </c>
      <c r="K266" s="241">
        <f>L266+S266+T266</f>
        <v>520000</v>
      </c>
      <c r="L266" s="236">
        <f>SUM(M266:R266)</f>
        <v>520000</v>
      </c>
      <c r="M266" s="236"/>
      <c r="N266" s="236"/>
      <c r="O266" s="236"/>
      <c r="P266" s="236">
        <v>520000</v>
      </c>
      <c r="Q266" s="236"/>
      <c r="R266" s="236"/>
      <c r="S266" s="236"/>
      <c r="T266" s="236">
        <f>SUM(U266:AD266)</f>
        <v>0</v>
      </c>
      <c r="U266" s="236"/>
      <c r="V266" s="236"/>
      <c r="W266" s="236"/>
      <c r="X266" s="236"/>
      <c r="Y266" s="236"/>
      <c r="Z266" s="236"/>
      <c r="AA266" s="236"/>
      <c r="AB266" s="236"/>
      <c r="AC266" s="236"/>
      <c r="AD266" s="236"/>
      <c r="AE266" s="236"/>
    </row>
    <row r="267" spans="1:31" ht="22.5" x14ac:dyDescent="0.2">
      <c r="A267" s="227"/>
      <c r="B267" s="227"/>
      <c r="C267" s="228" t="s">
        <v>657</v>
      </c>
      <c r="D267" s="229" t="s">
        <v>658</v>
      </c>
      <c r="E267" s="230" t="s">
        <v>682</v>
      </c>
      <c r="F267" s="231">
        <v>314473.3</v>
      </c>
      <c r="G267" s="232">
        <f t="shared" ref="G267:G330" si="111">F267/E267</f>
        <v>0.7561908311591502</v>
      </c>
      <c r="H267" s="233">
        <v>386710.66</v>
      </c>
      <c r="I267" s="234">
        <f t="shared" ref="I267:I283" si="112">K267</f>
        <v>240000</v>
      </c>
      <c r="J267" s="936">
        <f t="shared" ref="J267:J330" si="113">I267/E267</f>
        <v>0.57711036033328122</v>
      </c>
      <c r="K267" s="241">
        <f t="shared" ref="K267:K283" si="114">L267+S267+T267</f>
        <v>240000</v>
      </c>
      <c r="L267" s="236">
        <f t="shared" ref="L267:L283" si="115">SUM(M267:R267)</f>
        <v>240000</v>
      </c>
      <c r="M267" s="236"/>
      <c r="N267" s="236"/>
      <c r="O267" s="236"/>
      <c r="P267" s="236">
        <v>240000</v>
      </c>
      <c r="Q267" s="236"/>
      <c r="R267" s="236"/>
      <c r="S267" s="236"/>
      <c r="T267" s="236">
        <f t="shared" ref="T267:T283" si="116">SUM(U267:AD267)</f>
        <v>0</v>
      </c>
      <c r="U267" s="236"/>
      <c r="V267" s="236"/>
      <c r="W267" s="236"/>
      <c r="X267" s="236"/>
      <c r="Y267" s="236"/>
      <c r="Z267" s="236"/>
      <c r="AA267" s="236"/>
      <c r="AB267" s="236"/>
      <c r="AC267" s="236"/>
      <c r="AD267" s="236"/>
      <c r="AE267" s="236"/>
    </row>
    <row r="268" spans="1:31" x14ac:dyDescent="0.2">
      <c r="A268" s="227"/>
      <c r="B268" s="227"/>
      <c r="C268" s="228" t="s">
        <v>491</v>
      </c>
      <c r="D268" s="229" t="s">
        <v>492</v>
      </c>
      <c r="E268" s="230" t="s">
        <v>683</v>
      </c>
      <c r="F268" s="231">
        <v>18663.71</v>
      </c>
      <c r="G268" s="232">
        <f t="shared" si="111"/>
        <v>0.54753161029131336</v>
      </c>
      <c r="H268" s="230" t="s">
        <v>683</v>
      </c>
      <c r="I268" s="234">
        <f t="shared" si="112"/>
        <v>6824</v>
      </c>
      <c r="J268" s="936">
        <f t="shared" si="113"/>
        <v>0.20019362220201251</v>
      </c>
      <c r="K268" s="241">
        <f t="shared" si="114"/>
        <v>6824</v>
      </c>
      <c r="L268" s="236">
        <f t="shared" si="115"/>
        <v>0</v>
      </c>
      <c r="M268" s="236"/>
      <c r="N268" s="236"/>
      <c r="O268" s="236"/>
      <c r="P268" s="236"/>
      <c r="Q268" s="236"/>
      <c r="R268" s="236"/>
      <c r="S268" s="236"/>
      <c r="T268" s="236">
        <f t="shared" si="116"/>
        <v>6824</v>
      </c>
      <c r="U268" s="236"/>
      <c r="V268" s="236">
        <v>3581</v>
      </c>
      <c r="W268" s="236"/>
      <c r="X268" s="236">
        <v>1990</v>
      </c>
      <c r="Y268" s="236">
        <v>1253</v>
      </c>
      <c r="Z268" s="236"/>
      <c r="AA268" s="236"/>
      <c r="AB268" s="236"/>
      <c r="AC268" s="236"/>
      <c r="AD268" s="236"/>
      <c r="AE268" s="236"/>
    </row>
    <row r="269" spans="1:31" x14ac:dyDescent="0.2">
      <c r="A269" s="227"/>
      <c r="B269" s="227"/>
      <c r="C269" s="228" t="s">
        <v>401</v>
      </c>
      <c r="D269" s="229" t="s">
        <v>402</v>
      </c>
      <c r="E269" s="230" t="s">
        <v>684</v>
      </c>
      <c r="F269" s="231">
        <v>818725.18</v>
      </c>
      <c r="G269" s="232">
        <f t="shared" si="111"/>
        <v>0.74259979029706713</v>
      </c>
      <c r="H269" s="230" t="s">
        <v>684</v>
      </c>
      <c r="I269" s="234">
        <f t="shared" si="112"/>
        <v>541300</v>
      </c>
      <c r="J269" s="936">
        <f t="shared" si="113"/>
        <v>0.49096971280131191</v>
      </c>
      <c r="K269" s="241">
        <f t="shared" si="114"/>
        <v>541300</v>
      </c>
      <c r="L269" s="236">
        <f t="shared" si="115"/>
        <v>0</v>
      </c>
      <c r="M269" s="236"/>
      <c r="N269" s="236"/>
      <c r="O269" s="236"/>
      <c r="P269" s="236"/>
      <c r="Q269" s="236"/>
      <c r="R269" s="236"/>
      <c r="S269" s="236"/>
      <c r="T269" s="236">
        <f t="shared" si="116"/>
        <v>541300</v>
      </c>
      <c r="U269" s="236"/>
      <c r="V269" s="236">
        <v>309400</v>
      </c>
      <c r="W269" s="236"/>
      <c r="X269" s="236">
        <v>138500</v>
      </c>
      <c r="Y269" s="236">
        <v>93400</v>
      </c>
      <c r="Z269" s="236"/>
      <c r="AA269" s="236"/>
      <c r="AB269" s="236"/>
      <c r="AC269" s="236"/>
      <c r="AD269" s="236"/>
      <c r="AE269" s="236"/>
    </row>
    <row r="270" spans="1:31" x14ac:dyDescent="0.2">
      <c r="A270" s="227"/>
      <c r="B270" s="227"/>
      <c r="C270" s="228" t="s">
        <v>495</v>
      </c>
      <c r="D270" s="229" t="s">
        <v>496</v>
      </c>
      <c r="E270" s="230" t="s">
        <v>685</v>
      </c>
      <c r="F270" s="231">
        <v>126197.48</v>
      </c>
      <c r="G270" s="232">
        <f t="shared" si="111"/>
        <v>1</v>
      </c>
      <c r="H270" s="230" t="s">
        <v>685</v>
      </c>
      <c r="I270" s="234">
        <f t="shared" si="112"/>
        <v>82440</v>
      </c>
      <c r="J270" s="936">
        <f t="shared" si="113"/>
        <v>0.65326185594197284</v>
      </c>
      <c r="K270" s="241">
        <f t="shared" si="114"/>
        <v>82440</v>
      </c>
      <c r="L270" s="236">
        <f t="shared" si="115"/>
        <v>0</v>
      </c>
      <c r="M270" s="236"/>
      <c r="N270" s="236"/>
      <c r="O270" s="236"/>
      <c r="P270" s="236"/>
      <c r="Q270" s="236"/>
      <c r="R270" s="236"/>
      <c r="S270" s="236"/>
      <c r="T270" s="236">
        <f t="shared" si="116"/>
        <v>82440</v>
      </c>
      <c r="U270" s="236"/>
      <c r="V270" s="236">
        <v>47393</v>
      </c>
      <c r="W270" s="236"/>
      <c r="X270" s="236">
        <v>16803</v>
      </c>
      <c r="Y270" s="236">
        <v>18244</v>
      </c>
      <c r="Z270" s="236"/>
      <c r="AA270" s="236"/>
      <c r="AB270" s="236"/>
      <c r="AC270" s="236"/>
      <c r="AD270" s="236"/>
      <c r="AE270" s="236"/>
    </row>
    <row r="271" spans="1:31" x14ac:dyDescent="0.2">
      <c r="A271" s="227"/>
      <c r="B271" s="227"/>
      <c r="C271" s="228" t="s">
        <v>404</v>
      </c>
      <c r="D271" s="229" t="s">
        <v>405</v>
      </c>
      <c r="E271" s="230" t="s">
        <v>686</v>
      </c>
      <c r="F271" s="231">
        <v>159920.16</v>
      </c>
      <c r="G271" s="232">
        <f t="shared" si="111"/>
        <v>0.75428345030563737</v>
      </c>
      <c r="H271" s="230" t="s">
        <v>686</v>
      </c>
      <c r="I271" s="234">
        <f t="shared" si="112"/>
        <v>105585</v>
      </c>
      <c r="J271" s="936">
        <f t="shared" si="113"/>
        <v>0.4980048675571655</v>
      </c>
      <c r="K271" s="241">
        <f t="shared" si="114"/>
        <v>105585</v>
      </c>
      <c r="L271" s="236">
        <f t="shared" si="115"/>
        <v>0</v>
      </c>
      <c r="M271" s="236"/>
      <c r="N271" s="236"/>
      <c r="O271" s="236"/>
      <c r="P271" s="236"/>
      <c r="Q271" s="236"/>
      <c r="R271" s="236"/>
      <c r="S271" s="236"/>
      <c r="T271" s="236">
        <f t="shared" si="116"/>
        <v>105585</v>
      </c>
      <c r="U271" s="236"/>
      <c r="V271" s="236">
        <v>61154</v>
      </c>
      <c r="W271" s="236"/>
      <c r="X271" s="236">
        <v>25406</v>
      </c>
      <c r="Y271" s="236">
        <v>19025</v>
      </c>
      <c r="Z271" s="236"/>
      <c r="AA271" s="236"/>
      <c r="AB271" s="236"/>
      <c r="AC271" s="236"/>
      <c r="AD271" s="236"/>
      <c r="AE271" s="236"/>
    </row>
    <row r="272" spans="1:31" x14ac:dyDescent="0.2">
      <c r="A272" s="227"/>
      <c r="B272" s="227"/>
      <c r="C272" s="228" t="s">
        <v>407</v>
      </c>
      <c r="D272" s="229" t="s">
        <v>408</v>
      </c>
      <c r="E272" s="230" t="s">
        <v>687</v>
      </c>
      <c r="F272" s="231">
        <v>19158.95</v>
      </c>
      <c r="G272" s="232">
        <f t="shared" si="111"/>
        <v>0.63364697711337481</v>
      </c>
      <c r="H272" s="230" t="s">
        <v>687</v>
      </c>
      <c r="I272" s="234">
        <f t="shared" si="112"/>
        <v>15068</v>
      </c>
      <c r="J272" s="936">
        <f t="shared" si="113"/>
        <v>0.49834634210874457</v>
      </c>
      <c r="K272" s="241">
        <f t="shared" si="114"/>
        <v>15068</v>
      </c>
      <c r="L272" s="236">
        <f t="shared" si="115"/>
        <v>0</v>
      </c>
      <c r="M272" s="236"/>
      <c r="N272" s="236"/>
      <c r="O272" s="236"/>
      <c r="P272" s="236"/>
      <c r="Q272" s="236"/>
      <c r="R272" s="236"/>
      <c r="S272" s="236"/>
      <c r="T272" s="236">
        <f t="shared" si="116"/>
        <v>15068</v>
      </c>
      <c r="U272" s="236"/>
      <c r="V272" s="236">
        <v>8716</v>
      </c>
      <c r="W272" s="236"/>
      <c r="X272" s="236">
        <v>3640</v>
      </c>
      <c r="Y272" s="236">
        <v>2712</v>
      </c>
      <c r="Z272" s="236"/>
      <c r="AA272" s="236"/>
      <c r="AB272" s="236"/>
      <c r="AC272" s="236"/>
      <c r="AD272" s="236"/>
      <c r="AE272" s="236"/>
    </row>
    <row r="273" spans="1:31" x14ac:dyDescent="0.2">
      <c r="A273" s="227"/>
      <c r="B273" s="227"/>
      <c r="C273" s="228" t="s">
        <v>420</v>
      </c>
      <c r="D273" s="229" t="s">
        <v>421</v>
      </c>
      <c r="E273" s="230" t="s">
        <v>557</v>
      </c>
      <c r="F273" s="231">
        <v>1560</v>
      </c>
      <c r="G273" s="232">
        <f t="shared" si="111"/>
        <v>0.52</v>
      </c>
      <c r="H273" s="230" t="s">
        <v>557</v>
      </c>
      <c r="I273" s="234">
        <f t="shared" si="112"/>
        <v>3000</v>
      </c>
      <c r="J273" s="936">
        <f t="shared" si="113"/>
        <v>1</v>
      </c>
      <c r="K273" s="241">
        <f t="shared" si="114"/>
        <v>3000</v>
      </c>
      <c r="L273" s="236">
        <f t="shared" si="115"/>
        <v>0</v>
      </c>
      <c r="M273" s="236"/>
      <c r="N273" s="236"/>
      <c r="O273" s="236"/>
      <c r="P273" s="236"/>
      <c r="Q273" s="236"/>
      <c r="R273" s="236"/>
      <c r="S273" s="236"/>
      <c r="T273" s="236">
        <f t="shared" si="116"/>
        <v>3000</v>
      </c>
      <c r="U273" s="236"/>
      <c r="V273" s="236">
        <v>3000</v>
      </c>
      <c r="W273" s="236"/>
      <c r="X273" s="236">
        <v>0</v>
      </c>
      <c r="Y273" s="236">
        <v>0</v>
      </c>
      <c r="Z273" s="236"/>
      <c r="AA273" s="236"/>
      <c r="AB273" s="236"/>
      <c r="AC273" s="236"/>
      <c r="AD273" s="236"/>
      <c r="AE273" s="236"/>
    </row>
    <row r="274" spans="1:31" x14ac:dyDescent="0.2">
      <c r="A274" s="227"/>
      <c r="B274" s="227"/>
      <c r="C274" s="228" t="s">
        <v>410</v>
      </c>
      <c r="D274" s="229" t="s">
        <v>411</v>
      </c>
      <c r="E274" s="230" t="s">
        <v>44</v>
      </c>
      <c r="F274" s="231">
        <v>30293.23</v>
      </c>
      <c r="G274" s="232">
        <f t="shared" si="111"/>
        <v>0.60586459999999998</v>
      </c>
      <c r="H274" s="230" t="s">
        <v>44</v>
      </c>
      <c r="I274" s="234">
        <f t="shared" si="112"/>
        <v>60000</v>
      </c>
      <c r="J274" s="936">
        <f t="shared" si="113"/>
        <v>1.2</v>
      </c>
      <c r="K274" s="241">
        <f t="shared" si="114"/>
        <v>60000</v>
      </c>
      <c r="L274" s="236">
        <f t="shared" si="115"/>
        <v>0</v>
      </c>
      <c r="M274" s="236"/>
      <c r="N274" s="236"/>
      <c r="O274" s="236"/>
      <c r="P274" s="236"/>
      <c r="Q274" s="236"/>
      <c r="R274" s="236"/>
      <c r="S274" s="236"/>
      <c r="T274" s="236">
        <f t="shared" si="116"/>
        <v>60000</v>
      </c>
      <c r="U274" s="236"/>
      <c r="V274" s="236">
        <v>20000</v>
      </c>
      <c r="W274" s="236"/>
      <c r="X274" s="236">
        <v>10000</v>
      </c>
      <c r="Y274" s="236">
        <v>30000</v>
      </c>
      <c r="Z274" s="236"/>
      <c r="AA274" s="236"/>
      <c r="AB274" s="236"/>
      <c r="AC274" s="236"/>
      <c r="AD274" s="236"/>
      <c r="AE274" s="236"/>
    </row>
    <row r="275" spans="1:31" x14ac:dyDescent="0.2">
      <c r="A275" s="227"/>
      <c r="B275" s="227"/>
      <c r="C275" s="228" t="s">
        <v>630</v>
      </c>
      <c r="D275" s="229" t="s">
        <v>631</v>
      </c>
      <c r="E275" s="230" t="s">
        <v>161</v>
      </c>
      <c r="F275" s="231">
        <v>3006.48</v>
      </c>
      <c r="G275" s="232">
        <f t="shared" si="111"/>
        <v>0.50107999999999997</v>
      </c>
      <c r="H275" s="230" t="s">
        <v>161</v>
      </c>
      <c r="I275" s="234">
        <f t="shared" si="112"/>
        <v>9000</v>
      </c>
      <c r="J275" s="936">
        <f t="shared" si="113"/>
        <v>1.5</v>
      </c>
      <c r="K275" s="241">
        <f t="shared" si="114"/>
        <v>9000</v>
      </c>
      <c r="L275" s="236">
        <f t="shared" si="115"/>
        <v>0</v>
      </c>
      <c r="M275" s="236"/>
      <c r="N275" s="236"/>
      <c r="O275" s="236"/>
      <c r="P275" s="236"/>
      <c r="Q275" s="236"/>
      <c r="R275" s="236"/>
      <c r="S275" s="236"/>
      <c r="T275" s="236">
        <f t="shared" si="116"/>
        <v>9000</v>
      </c>
      <c r="U275" s="236"/>
      <c r="V275" s="236">
        <v>2000</v>
      </c>
      <c r="W275" s="236"/>
      <c r="X275" s="236">
        <v>2000</v>
      </c>
      <c r="Y275" s="236">
        <v>5000</v>
      </c>
      <c r="Z275" s="236"/>
      <c r="AA275" s="236"/>
      <c r="AB275" s="236"/>
      <c r="AC275" s="236"/>
      <c r="AD275" s="236"/>
      <c r="AE275" s="236"/>
    </row>
    <row r="276" spans="1:31" x14ac:dyDescent="0.2">
      <c r="A276" s="227"/>
      <c r="B276" s="227"/>
      <c r="C276" s="228" t="s">
        <v>424</v>
      </c>
      <c r="D276" s="229" t="s">
        <v>425</v>
      </c>
      <c r="E276" s="230" t="s">
        <v>688</v>
      </c>
      <c r="F276" s="231">
        <v>97744.19</v>
      </c>
      <c r="G276" s="232">
        <f t="shared" si="111"/>
        <v>0.75303690292758096</v>
      </c>
      <c r="H276" s="230" t="s">
        <v>688</v>
      </c>
      <c r="I276" s="234">
        <f t="shared" si="112"/>
        <v>130000</v>
      </c>
      <c r="J276" s="936">
        <f t="shared" si="113"/>
        <v>1.0015408320493067</v>
      </c>
      <c r="K276" s="241">
        <f t="shared" si="114"/>
        <v>130000</v>
      </c>
      <c r="L276" s="236">
        <f t="shared" si="115"/>
        <v>0</v>
      </c>
      <c r="M276" s="236"/>
      <c r="N276" s="236"/>
      <c r="O276" s="236"/>
      <c r="P276" s="236"/>
      <c r="Q276" s="236"/>
      <c r="R276" s="236"/>
      <c r="S276" s="236"/>
      <c r="T276" s="236">
        <f t="shared" si="116"/>
        <v>130000</v>
      </c>
      <c r="U276" s="236"/>
      <c r="V276" s="236">
        <v>110000</v>
      </c>
      <c r="W276" s="236"/>
      <c r="X276" s="236">
        <v>10000</v>
      </c>
      <c r="Y276" s="236">
        <v>10000</v>
      </c>
      <c r="Z276" s="236"/>
      <c r="AA276" s="236"/>
      <c r="AB276" s="236"/>
      <c r="AC276" s="236"/>
      <c r="AD276" s="236"/>
      <c r="AE276" s="236"/>
    </row>
    <row r="277" spans="1:31" x14ac:dyDescent="0.2">
      <c r="A277" s="227"/>
      <c r="B277" s="227"/>
      <c r="C277" s="228" t="s">
        <v>438</v>
      </c>
      <c r="D277" s="229" t="s">
        <v>439</v>
      </c>
      <c r="E277" s="230" t="s">
        <v>689</v>
      </c>
      <c r="F277" s="231">
        <v>55138.85</v>
      </c>
      <c r="G277" s="232">
        <f t="shared" si="111"/>
        <v>0.77660352112676057</v>
      </c>
      <c r="H277" s="230" t="s">
        <v>689</v>
      </c>
      <c r="I277" s="234">
        <f t="shared" si="112"/>
        <v>20000</v>
      </c>
      <c r="J277" s="936">
        <f t="shared" si="113"/>
        <v>0.28169014084507044</v>
      </c>
      <c r="K277" s="241">
        <f t="shared" si="114"/>
        <v>20000</v>
      </c>
      <c r="L277" s="236">
        <f t="shared" si="115"/>
        <v>0</v>
      </c>
      <c r="M277" s="236"/>
      <c r="N277" s="236"/>
      <c r="O277" s="236"/>
      <c r="P277" s="236"/>
      <c r="Q277" s="236"/>
      <c r="R277" s="236"/>
      <c r="S277" s="236"/>
      <c r="T277" s="236">
        <f t="shared" si="116"/>
        <v>20000</v>
      </c>
      <c r="U277" s="236"/>
      <c r="V277" s="236">
        <f>25000-20000</f>
        <v>5000</v>
      </c>
      <c r="W277" s="236"/>
      <c r="X277" s="236">
        <v>0</v>
      </c>
      <c r="Y277" s="236">
        <v>15000</v>
      </c>
      <c r="Z277" s="236"/>
      <c r="AA277" s="236"/>
      <c r="AB277" s="236"/>
      <c r="AC277" s="236"/>
      <c r="AD277" s="236"/>
      <c r="AE277" s="236"/>
    </row>
    <row r="278" spans="1:31" x14ac:dyDescent="0.2">
      <c r="A278" s="227"/>
      <c r="B278" s="227"/>
      <c r="C278" s="228" t="s">
        <v>524</v>
      </c>
      <c r="D278" s="229" t="s">
        <v>525</v>
      </c>
      <c r="E278" s="230" t="s">
        <v>690</v>
      </c>
      <c r="F278" s="231">
        <v>70</v>
      </c>
      <c r="G278" s="232">
        <f t="shared" si="111"/>
        <v>2.8000000000000001E-2</v>
      </c>
      <c r="H278" s="230" t="s">
        <v>690</v>
      </c>
      <c r="I278" s="234">
        <f t="shared" si="112"/>
        <v>12000</v>
      </c>
      <c r="J278" s="936">
        <f t="shared" si="113"/>
        <v>4.8</v>
      </c>
      <c r="K278" s="241">
        <f t="shared" si="114"/>
        <v>12000</v>
      </c>
      <c r="L278" s="236">
        <f t="shared" si="115"/>
        <v>0</v>
      </c>
      <c r="M278" s="236"/>
      <c r="N278" s="236"/>
      <c r="O278" s="236"/>
      <c r="P278" s="236"/>
      <c r="Q278" s="236"/>
      <c r="R278" s="236"/>
      <c r="S278" s="236"/>
      <c r="T278" s="236">
        <f t="shared" si="116"/>
        <v>12000</v>
      </c>
      <c r="U278" s="236"/>
      <c r="V278" s="236">
        <v>1000</v>
      </c>
      <c r="W278" s="236"/>
      <c r="X278" s="236">
        <v>1000</v>
      </c>
      <c r="Y278" s="236">
        <v>10000</v>
      </c>
      <c r="Z278" s="236"/>
      <c r="AA278" s="236"/>
      <c r="AB278" s="236"/>
      <c r="AC278" s="236"/>
      <c r="AD278" s="236"/>
      <c r="AE278" s="236"/>
    </row>
    <row r="279" spans="1:31" x14ac:dyDescent="0.2">
      <c r="A279" s="227"/>
      <c r="B279" s="227"/>
      <c r="C279" s="228" t="s">
        <v>413</v>
      </c>
      <c r="D279" s="229" t="s">
        <v>414</v>
      </c>
      <c r="E279" s="230" t="s">
        <v>691</v>
      </c>
      <c r="F279" s="231">
        <v>21681.279999999999</v>
      </c>
      <c r="G279" s="232">
        <f t="shared" si="111"/>
        <v>0.4424751020408163</v>
      </c>
      <c r="H279" s="230" t="s">
        <v>691</v>
      </c>
      <c r="I279" s="234">
        <f t="shared" si="112"/>
        <v>49000</v>
      </c>
      <c r="J279" s="936">
        <f t="shared" si="113"/>
        <v>1</v>
      </c>
      <c r="K279" s="241">
        <f t="shared" si="114"/>
        <v>49000</v>
      </c>
      <c r="L279" s="236">
        <f t="shared" si="115"/>
        <v>0</v>
      </c>
      <c r="M279" s="236"/>
      <c r="N279" s="236"/>
      <c r="O279" s="236"/>
      <c r="P279" s="236"/>
      <c r="Q279" s="236"/>
      <c r="R279" s="236"/>
      <c r="S279" s="236"/>
      <c r="T279" s="236">
        <f t="shared" si="116"/>
        <v>49000</v>
      </c>
      <c r="U279" s="236"/>
      <c r="V279" s="236">
        <v>35000</v>
      </c>
      <c r="W279" s="236"/>
      <c r="X279" s="236">
        <v>3000</v>
      </c>
      <c r="Y279" s="236">
        <v>11000</v>
      </c>
      <c r="Z279" s="236"/>
      <c r="AA279" s="236"/>
      <c r="AB279" s="236"/>
      <c r="AC279" s="236"/>
      <c r="AD279" s="236"/>
      <c r="AE279" s="236"/>
    </row>
    <row r="280" spans="1:31" x14ac:dyDescent="0.2">
      <c r="A280" s="227"/>
      <c r="B280" s="227"/>
      <c r="C280" s="228" t="s">
        <v>451</v>
      </c>
      <c r="D280" s="229" t="s">
        <v>452</v>
      </c>
      <c r="E280" s="230" t="s">
        <v>692</v>
      </c>
      <c r="F280" s="231">
        <v>4436.1499999999996</v>
      </c>
      <c r="G280" s="232">
        <f t="shared" si="111"/>
        <v>0.68248461538461536</v>
      </c>
      <c r="H280" s="230" t="s">
        <v>692</v>
      </c>
      <c r="I280" s="234">
        <f t="shared" si="112"/>
        <v>6500</v>
      </c>
      <c r="J280" s="936">
        <f t="shared" si="113"/>
        <v>1</v>
      </c>
      <c r="K280" s="241">
        <f t="shared" si="114"/>
        <v>6500</v>
      </c>
      <c r="L280" s="236">
        <f t="shared" si="115"/>
        <v>0</v>
      </c>
      <c r="M280" s="236"/>
      <c r="N280" s="236"/>
      <c r="O280" s="236"/>
      <c r="P280" s="236"/>
      <c r="Q280" s="236"/>
      <c r="R280" s="236"/>
      <c r="S280" s="236"/>
      <c r="T280" s="236">
        <f t="shared" si="116"/>
        <v>6500</v>
      </c>
      <c r="U280" s="236"/>
      <c r="V280" s="236">
        <v>5500</v>
      </c>
      <c r="W280" s="236"/>
      <c r="X280" s="236">
        <v>1000</v>
      </c>
      <c r="Y280" s="236">
        <v>0</v>
      </c>
      <c r="Z280" s="236"/>
      <c r="AA280" s="236"/>
      <c r="AB280" s="236"/>
      <c r="AC280" s="236"/>
      <c r="AD280" s="236"/>
      <c r="AE280" s="236"/>
    </row>
    <row r="281" spans="1:31" x14ac:dyDescent="0.2">
      <c r="A281" s="227"/>
      <c r="B281" s="227"/>
      <c r="C281" s="228" t="s">
        <v>533</v>
      </c>
      <c r="D281" s="229" t="s">
        <v>534</v>
      </c>
      <c r="E281" s="230" t="s">
        <v>690</v>
      </c>
      <c r="F281" s="231">
        <v>1189.49</v>
      </c>
      <c r="G281" s="232">
        <f t="shared" si="111"/>
        <v>0.475796</v>
      </c>
      <c r="H281" s="230" t="s">
        <v>690</v>
      </c>
      <c r="I281" s="234">
        <f t="shared" si="112"/>
        <v>2000</v>
      </c>
      <c r="J281" s="936">
        <f t="shared" si="113"/>
        <v>0.8</v>
      </c>
      <c r="K281" s="241">
        <f t="shared" si="114"/>
        <v>2000</v>
      </c>
      <c r="L281" s="236">
        <f t="shared" si="115"/>
        <v>0</v>
      </c>
      <c r="M281" s="236"/>
      <c r="N281" s="236"/>
      <c r="O281" s="236"/>
      <c r="P281" s="236"/>
      <c r="Q281" s="236"/>
      <c r="R281" s="236"/>
      <c r="S281" s="236"/>
      <c r="T281" s="236">
        <f t="shared" si="116"/>
        <v>2000</v>
      </c>
      <c r="U281" s="236"/>
      <c r="V281" s="236">
        <v>2000</v>
      </c>
      <c r="W281" s="236"/>
      <c r="X281" s="236">
        <v>0</v>
      </c>
      <c r="Y281" s="236">
        <v>0</v>
      </c>
      <c r="Z281" s="236"/>
      <c r="AA281" s="236"/>
      <c r="AB281" s="236"/>
      <c r="AC281" s="236"/>
      <c r="AD281" s="236"/>
      <c r="AE281" s="236"/>
    </row>
    <row r="282" spans="1:31" x14ac:dyDescent="0.2">
      <c r="A282" s="227"/>
      <c r="B282" s="227"/>
      <c r="C282" s="228" t="s">
        <v>416</v>
      </c>
      <c r="D282" s="229" t="s">
        <v>417</v>
      </c>
      <c r="E282" s="230" t="s">
        <v>493</v>
      </c>
      <c r="F282" s="231">
        <v>270</v>
      </c>
      <c r="G282" s="232">
        <f t="shared" si="111"/>
        <v>0.22500000000000001</v>
      </c>
      <c r="H282" s="230" t="s">
        <v>493</v>
      </c>
      <c r="I282" s="234">
        <f t="shared" si="112"/>
        <v>800</v>
      </c>
      <c r="J282" s="936">
        <f t="shared" si="113"/>
        <v>0.66666666666666663</v>
      </c>
      <c r="K282" s="241">
        <f t="shared" si="114"/>
        <v>800</v>
      </c>
      <c r="L282" s="236">
        <f t="shared" si="115"/>
        <v>0</v>
      </c>
      <c r="M282" s="236"/>
      <c r="N282" s="236"/>
      <c r="O282" s="236"/>
      <c r="P282" s="236"/>
      <c r="Q282" s="236"/>
      <c r="R282" s="236"/>
      <c r="S282" s="236"/>
      <c r="T282" s="236">
        <f t="shared" si="116"/>
        <v>800</v>
      </c>
      <c r="U282" s="236"/>
      <c r="V282" s="236">
        <v>800</v>
      </c>
      <c r="W282" s="236"/>
      <c r="X282" s="236">
        <v>0</v>
      </c>
      <c r="Y282" s="236">
        <v>0</v>
      </c>
      <c r="Z282" s="236"/>
      <c r="AA282" s="236"/>
      <c r="AB282" s="236"/>
      <c r="AC282" s="236"/>
      <c r="AD282" s="236"/>
      <c r="AE282" s="236"/>
    </row>
    <row r="283" spans="1:31" x14ac:dyDescent="0.2">
      <c r="A283" s="227"/>
      <c r="B283" s="227"/>
      <c r="C283" s="228" t="s">
        <v>537</v>
      </c>
      <c r="D283" s="229" t="s">
        <v>538</v>
      </c>
      <c r="E283" s="230" t="s">
        <v>693</v>
      </c>
      <c r="F283" s="231">
        <v>56556</v>
      </c>
      <c r="G283" s="232">
        <f t="shared" si="111"/>
        <v>1</v>
      </c>
      <c r="H283" s="230" t="s">
        <v>693</v>
      </c>
      <c r="I283" s="234">
        <f t="shared" si="112"/>
        <v>31037</v>
      </c>
      <c r="J283" s="936">
        <f t="shared" si="113"/>
        <v>0.54878350661291464</v>
      </c>
      <c r="K283" s="241">
        <f t="shared" si="114"/>
        <v>31037</v>
      </c>
      <c r="L283" s="236">
        <f t="shared" si="115"/>
        <v>0</v>
      </c>
      <c r="M283" s="236"/>
      <c r="N283" s="236"/>
      <c r="O283" s="236"/>
      <c r="P283" s="236"/>
      <c r="Q283" s="236"/>
      <c r="R283" s="236"/>
      <c r="S283" s="236"/>
      <c r="T283" s="236">
        <f t="shared" si="116"/>
        <v>31037</v>
      </c>
      <c r="U283" s="236"/>
      <c r="V283" s="236">
        <v>17463</v>
      </c>
      <c r="W283" s="236"/>
      <c r="X283" s="236">
        <v>7269</v>
      </c>
      <c r="Y283" s="236">
        <v>6305</v>
      </c>
      <c r="Z283" s="236"/>
      <c r="AA283" s="236"/>
      <c r="AB283" s="236"/>
      <c r="AC283" s="236"/>
      <c r="AD283" s="236"/>
      <c r="AE283" s="236"/>
    </row>
    <row r="284" spans="1:31" ht="15" x14ac:dyDescent="0.2">
      <c r="A284" s="219"/>
      <c r="B284" s="220" t="s">
        <v>694</v>
      </c>
      <c r="C284" s="221"/>
      <c r="D284" s="222" t="s">
        <v>695</v>
      </c>
      <c r="E284" s="223" t="str">
        <f>E285</f>
        <v>1 002 520,00</v>
      </c>
      <c r="F284" s="223">
        <f t="shared" ref="F284:AE284" si="117">F285</f>
        <v>564088.14</v>
      </c>
      <c r="G284" s="238">
        <f t="shared" si="111"/>
        <v>0.56267021106810833</v>
      </c>
      <c r="H284" s="223">
        <f t="shared" si="117"/>
        <v>991978.74</v>
      </c>
      <c r="I284" s="225">
        <f t="shared" si="117"/>
        <v>1100000</v>
      </c>
      <c r="J284" s="937">
        <f t="shared" si="113"/>
        <v>1.0972349678809401</v>
      </c>
      <c r="K284" s="925">
        <f t="shared" si="117"/>
        <v>1100000</v>
      </c>
      <c r="L284" s="223">
        <f t="shared" si="117"/>
        <v>0</v>
      </c>
      <c r="M284" s="223">
        <f t="shared" si="117"/>
        <v>0</v>
      </c>
      <c r="N284" s="223">
        <f t="shared" si="117"/>
        <v>0</v>
      </c>
      <c r="O284" s="223">
        <f t="shared" si="117"/>
        <v>0</v>
      </c>
      <c r="P284" s="223">
        <f t="shared" si="117"/>
        <v>0</v>
      </c>
      <c r="Q284" s="223">
        <f t="shared" si="117"/>
        <v>0</v>
      </c>
      <c r="R284" s="226">
        <f>R285</f>
        <v>0</v>
      </c>
      <c r="S284" s="223">
        <f t="shared" si="117"/>
        <v>0</v>
      </c>
      <c r="T284" s="223">
        <f t="shared" si="117"/>
        <v>1100000</v>
      </c>
      <c r="U284" s="223">
        <f t="shared" si="117"/>
        <v>0</v>
      </c>
      <c r="V284" s="223">
        <f t="shared" si="117"/>
        <v>0</v>
      </c>
      <c r="W284" s="223">
        <f t="shared" si="117"/>
        <v>0</v>
      </c>
      <c r="X284" s="223">
        <f t="shared" si="117"/>
        <v>0</v>
      </c>
      <c r="Y284" s="223">
        <f t="shared" si="117"/>
        <v>0</v>
      </c>
      <c r="Z284" s="223">
        <f t="shared" si="117"/>
        <v>0</v>
      </c>
      <c r="AA284" s="223">
        <f t="shared" si="117"/>
        <v>0</v>
      </c>
      <c r="AB284" s="223">
        <f t="shared" si="117"/>
        <v>0</v>
      </c>
      <c r="AC284" s="223">
        <f t="shared" si="117"/>
        <v>0</v>
      </c>
      <c r="AD284" s="223">
        <f t="shared" si="117"/>
        <v>1100000</v>
      </c>
      <c r="AE284" s="223">
        <f t="shared" si="117"/>
        <v>0</v>
      </c>
    </row>
    <row r="285" spans="1:31" x14ac:dyDescent="0.2">
      <c r="A285" s="227"/>
      <c r="B285" s="227"/>
      <c r="C285" s="228" t="s">
        <v>413</v>
      </c>
      <c r="D285" s="229" t="s">
        <v>414</v>
      </c>
      <c r="E285" s="230" t="s">
        <v>696</v>
      </c>
      <c r="F285" s="231">
        <v>564088.14</v>
      </c>
      <c r="G285" s="232">
        <f t="shared" si="111"/>
        <v>0.56267021106810833</v>
      </c>
      <c r="H285" s="233">
        <v>991978.74</v>
      </c>
      <c r="I285" s="234">
        <f>K285</f>
        <v>1100000</v>
      </c>
      <c r="J285" s="936">
        <f t="shared" si="113"/>
        <v>1.0972349678809401</v>
      </c>
      <c r="K285" s="241">
        <f>L285+S285+T285</f>
        <v>1100000</v>
      </c>
      <c r="L285" s="236">
        <f>SUM(M285:R285)</f>
        <v>0</v>
      </c>
      <c r="M285" s="236"/>
      <c r="N285" s="236"/>
      <c r="O285" s="236"/>
      <c r="P285" s="236"/>
      <c r="Q285" s="236"/>
      <c r="R285" s="242"/>
      <c r="S285" s="236"/>
      <c r="T285" s="236">
        <f>SUM(U285:AD285)</f>
        <v>1100000</v>
      </c>
      <c r="U285" s="236"/>
      <c r="V285" s="236"/>
      <c r="W285" s="236"/>
      <c r="X285" s="236"/>
      <c r="Y285" s="236"/>
      <c r="Z285" s="236"/>
      <c r="AA285" s="236"/>
      <c r="AB285" s="236"/>
      <c r="AC285" s="236"/>
      <c r="AD285" s="236">
        <v>1100000</v>
      </c>
      <c r="AE285" s="236"/>
    </row>
    <row r="286" spans="1:31" ht="15" x14ac:dyDescent="0.2">
      <c r="A286" s="219"/>
      <c r="B286" s="220" t="s">
        <v>697</v>
      </c>
      <c r="C286" s="221"/>
      <c r="D286" s="222" t="s">
        <v>698</v>
      </c>
      <c r="E286" s="223">
        <f>E287+E288</f>
        <v>100839</v>
      </c>
      <c r="F286" s="239">
        <f t="shared" ref="F286:AE286" si="118">F287+F288</f>
        <v>21532.19</v>
      </c>
      <c r="G286" s="238">
        <f t="shared" si="111"/>
        <v>0.21353038011086978</v>
      </c>
      <c r="H286" s="239">
        <f t="shared" si="118"/>
        <v>100839</v>
      </c>
      <c r="I286" s="240">
        <f t="shared" si="118"/>
        <v>112641</v>
      </c>
      <c r="J286" s="937">
        <f t="shared" si="113"/>
        <v>1.1170380507541724</v>
      </c>
      <c r="K286" s="925">
        <f t="shared" si="118"/>
        <v>112641</v>
      </c>
      <c r="L286" s="223">
        <f t="shared" si="118"/>
        <v>0</v>
      </c>
      <c r="M286" s="223">
        <f t="shared" si="118"/>
        <v>0</v>
      </c>
      <c r="N286" s="223">
        <f t="shared" si="118"/>
        <v>0</v>
      </c>
      <c r="O286" s="223">
        <f t="shared" si="118"/>
        <v>0</v>
      </c>
      <c r="P286" s="223">
        <f t="shared" si="118"/>
        <v>0</v>
      </c>
      <c r="Q286" s="223">
        <f t="shared" si="118"/>
        <v>0</v>
      </c>
      <c r="R286" s="226">
        <f>R287+R288</f>
        <v>0</v>
      </c>
      <c r="S286" s="223">
        <f t="shared" si="118"/>
        <v>0</v>
      </c>
      <c r="T286" s="223">
        <f t="shared" si="118"/>
        <v>112641</v>
      </c>
      <c r="U286" s="223">
        <f t="shared" si="118"/>
        <v>21514</v>
      </c>
      <c r="V286" s="223">
        <f t="shared" si="118"/>
        <v>34306</v>
      </c>
      <c r="W286" s="223">
        <f t="shared" si="118"/>
        <v>7673</v>
      </c>
      <c r="X286" s="223">
        <f t="shared" si="118"/>
        <v>13113</v>
      </c>
      <c r="Y286" s="223">
        <f t="shared" si="118"/>
        <v>12707</v>
      </c>
      <c r="Z286" s="223">
        <f t="shared" si="118"/>
        <v>8066</v>
      </c>
      <c r="AA286" s="223">
        <f t="shared" si="118"/>
        <v>5659</v>
      </c>
      <c r="AB286" s="223">
        <f t="shared" si="118"/>
        <v>5394</v>
      </c>
      <c r="AC286" s="223">
        <f t="shared" si="118"/>
        <v>4209</v>
      </c>
      <c r="AD286" s="223">
        <f t="shared" si="118"/>
        <v>0</v>
      </c>
      <c r="AE286" s="223">
        <f t="shared" si="118"/>
        <v>0</v>
      </c>
    </row>
    <row r="287" spans="1:31" x14ac:dyDescent="0.2">
      <c r="A287" s="227"/>
      <c r="B287" s="227"/>
      <c r="C287" s="228" t="s">
        <v>413</v>
      </c>
      <c r="D287" s="229" t="s">
        <v>414</v>
      </c>
      <c r="E287" s="230" t="s">
        <v>699</v>
      </c>
      <c r="F287" s="231">
        <v>3460</v>
      </c>
      <c r="G287" s="232">
        <f t="shared" si="111"/>
        <v>0.15727272727272729</v>
      </c>
      <c r="H287" s="230" t="s">
        <v>699</v>
      </c>
      <c r="I287" s="234">
        <f>K287</f>
        <v>30000</v>
      </c>
      <c r="J287" s="936">
        <f t="shared" si="113"/>
        <v>1.3636363636363635</v>
      </c>
      <c r="K287" s="241">
        <f>L287+S287+T287</f>
        <v>30000</v>
      </c>
      <c r="L287" s="236">
        <f>SUM(M287:R287)</f>
        <v>0</v>
      </c>
      <c r="M287" s="236"/>
      <c r="N287" s="236"/>
      <c r="O287" s="236"/>
      <c r="P287" s="236"/>
      <c r="Q287" s="236"/>
      <c r="R287" s="236"/>
      <c r="S287" s="236"/>
      <c r="T287" s="236">
        <f>SUM(U287:AD287)</f>
        <v>30000</v>
      </c>
      <c r="U287" s="236">
        <v>5000</v>
      </c>
      <c r="V287" s="236">
        <v>5000</v>
      </c>
      <c r="W287" s="236"/>
      <c r="X287" s="236">
        <v>2000</v>
      </c>
      <c r="Y287" s="236">
        <v>9000</v>
      </c>
      <c r="Z287" s="236">
        <v>1000</v>
      </c>
      <c r="AA287" s="236">
        <v>3000</v>
      </c>
      <c r="AB287" s="236">
        <v>4000</v>
      </c>
      <c r="AC287" s="236">
        <v>1000</v>
      </c>
      <c r="AD287" s="236"/>
      <c r="AE287" s="236"/>
    </row>
    <row r="288" spans="1:31" ht="22.5" x14ac:dyDescent="0.2">
      <c r="A288" s="227"/>
      <c r="B288" s="227"/>
      <c r="C288" s="228" t="s">
        <v>540</v>
      </c>
      <c r="D288" s="229" t="s">
        <v>541</v>
      </c>
      <c r="E288" s="230" t="s">
        <v>700</v>
      </c>
      <c r="F288" s="231">
        <v>18072.189999999999</v>
      </c>
      <c r="G288" s="232">
        <f t="shared" si="111"/>
        <v>0.22922906175877419</v>
      </c>
      <c r="H288" s="230" t="s">
        <v>700</v>
      </c>
      <c r="I288" s="234">
        <f>K288</f>
        <v>82641</v>
      </c>
      <c r="J288" s="936">
        <f t="shared" si="113"/>
        <v>1.048224863329063</v>
      </c>
      <c r="K288" s="241">
        <f>L288+S288+T288</f>
        <v>82641</v>
      </c>
      <c r="L288" s="236">
        <f>SUM(M288:R288)</f>
        <v>0</v>
      </c>
      <c r="M288" s="236"/>
      <c r="N288" s="236"/>
      <c r="O288" s="236"/>
      <c r="P288" s="236"/>
      <c r="Q288" s="236"/>
      <c r="R288" s="236"/>
      <c r="S288" s="236"/>
      <c r="T288" s="236">
        <f>SUM(U288:AD288)</f>
        <v>82641</v>
      </c>
      <c r="U288" s="236">
        <v>16514</v>
      </c>
      <c r="V288" s="236">
        <v>29306</v>
      </c>
      <c r="W288" s="236">
        <v>7673</v>
      </c>
      <c r="X288" s="236">
        <v>11113</v>
      </c>
      <c r="Y288" s="236">
        <v>3707</v>
      </c>
      <c r="Z288" s="236">
        <v>7066</v>
      </c>
      <c r="AA288" s="236">
        <v>2659</v>
      </c>
      <c r="AB288" s="236">
        <v>1394</v>
      </c>
      <c r="AC288" s="236">
        <v>3209</v>
      </c>
      <c r="AD288" s="236"/>
      <c r="AE288" s="236"/>
    </row>
    <row r="289" spans="1:31" ht="15" x14ac:dyDescent="0.2">
      <c r="A289" s="219"/>
      <c r="B289" s="220" t="s">
        <v>253</v>
      </c>
      <c r="C289" s="221"/>
      <c r="D289" s="222" t="s">
        <v>254</v>
      </c>
      <c r="E289" s="223">
        <f>E290+E291+E292+E293+E294+E295+E296+E297+E298+E299+E300+E301+E302</f>
        <v>712414.66999999993</v>
      </c>
      <c r="F289" s="239">
        <f t="shared" ref="F289:AE289" si="119">F290+F291+F292+F293+F294+F295+F296+F297+F298+F299+F300+F301+F302</f>
        <v>444600.77999999997</v>
      </c>
      <c r="G289" s="238">
        <f t="shared" si="111"/>
        <v>0.62407583493472985</v>
      </c>
      <c r="H289" s="239">
        <f t="shared" si="119"/>
        <v>654118.11999999988</v>
      </c>
      <c r="I289" s="240">
        <f t="shared" si="119"/>
        <v>693507</v>
      </c>
      <c r="J289" s="937">
        <f t="shared" si="113"/>
        <v>0.97345974079955433</v>
      </c>
      <c r="K289" s="925">
        <f t="shared" si="119"/>
        <v>693507</v>
      </c>
      <c r="L289" s="223">
        <f t="shared" si="119"/>
        <v>0</v>
      </c>
      <c r="M289" s="223">
        <f t="shared" si="119"/>
        <v>0</v>
      </c>
      <c r="N289" s="223">
        <f t="shared" si="119"/>
        <v>0</v>
      </c>
      <c r="O289" s="223">
        <f t="shared" si="119"/>
        <v>0</v>
      </c>
      <c r="P289" s="223">
        <f t="shared" si="119"/>
        <v>0</v>
      </c>
      <c r="Q289" s="223">
        <f t="shared" si="119"/>
        <v>0</v>
      </c>
      <c r="R289" s="226">
        <f>R290+R291+R292+R293+R294+R295+R296+R297+R298+R299+R300+R301+R302</f>
        <v>0</v>
      </c>
      <c r="S289" s="223">
        <f t="shared" si="119"/>
        <v>0</v>
      </c>
      <c r="T289" s="223">
        <f t="shared" si="119"/>
        <v>693507</v>
      </c>
      <c r="U289" s="223">
        <f t="shared" si="119"/>
        <v>237716</v>
      </c>
      <c r="V289" s="223">
        <f t="shared" si="119"/>
        <v>455791</v>
      </c>
      <c r="W289" s="223">
        <f t="shared" si="119"/>
        <v>0</v>
      </c>
      <c r="X289" s="223">
        <f t="shared" si="119"/>
        <v>0</v>
      </c>
      <c r="Y289" s="223">
        <f t="shared" si="119"/>
        <v>0</v>
      </c>
      <c r="Z289" s="223">
        <f t="shared" si="119"/>
        <v>0</v>
      </c>
      <c r="AA289" s="223">
        <f t="shared" si="119"/>
        <v>0</v>
      </c>
      <c r="AB289" s="223">
        <f t="shared" si="119"/>
        <v>0</v>
      </c>
      <c r="AC289" s="223">
        <f t="shared" si="119"/>
        <v>0</v>
      </c>
      <c r="AD289" s="223">
        <f t="shared" si="119"/>
        <v>0</v>
      </c>
      <c r="AE289" s="223">
        <f t="shared" si="119"/>
        <v>0</v>
      </c>
    </row>
    <row r="290" spans="1:31" x14ac:dyDescent="0.2">
      <c r="A290" s="227"/>
      <c r="B290" s="227"/>
      <c r="C290" s="228" t="s">
        <v>491</v>
      </c>
      <c r="D290" s="229" t="s">
        <v>492</v>
      </c>
      <c r="E290" s="230" t="s">
        <v>95</v>
      </c>
      <c r="F290" s="231">
        <v>1097.4000000000001</v>
      </c>
      <c r="G290" s="232">
        <f t="shared" si="111"/>
        <v>0.54870000000000008</v>
      </c>
      <c r="H290" s="230" t="s">
        <v>95</v>
      </c>
      <c r="I290" s="234">
        <f>K290</f>
        <v>2000</v>
      </c>
      <c r="J290" s="936">
        <f t="shared" si="113"/>
        <v>1</v>
      </c>
      <c r="K290" s="241">
        <f>L290+S290+T290</f>
        <v>2000</v>
      </c>
      <c r="L290" s="236">
        <f>SUM(M290:R290)</f>
        <v>0</v>
      </c>
      <c r="M290" s="236"/>
      <c r="N290" s="236"/>
      <c r="O290" s="236"/>
      <c r="P290" s="236"/>
      <c r="Q290" s="236"/>
      <c r="R290" s="236"/>
      <c r="S290" s="236"/>
      <c r="T290" s="236">
        <f>SUM(U290:AD290)</f>
        <v>2000</v>
      </c>
      <c r="U290" s="236">
        <v>0</v>
      </c>
      <c r="V290" s="236">
        <v>2000</v>
      </c>
      <c r="W290" s="236"/>
      <c r="X290" s="236"/>
      <c r="Y290" s="236"/>
      <c r="Z290" s="236"/>
      <c r="AA290" s="236"/>
      <c r="AB290" s="236"/>
      <c r="AC290" s="236"/>
      <c r="AD290" s="236"/>
      <c r="AE290" s="236"/>
    </row>
    <row r="291" spans="1:31" x14ac:dyDescent="0.2">
      <c r="A291" s="227"/>
      <c r="B291" s="227"/>
      <c r="C291" s="228" t="s">
        <v>401</v>
      </c>
      <c r="D291" s="229" t="s">
        <v>402</v>
      </c>
      <c r="E291" s="230" t="s">
        <v>701</v>
      </c>
      <c r="F291" s="231">
        <v>193269.78</v>
      </c>
      <c r="G291" s="232">
        <f t="shared" si="111"/>
        <v>0.70613730361709903</v>
      </c>
      <c r="H291" s="230" t="s">
        <v>701</v>
      </c>
      <c r="I291" s="234">
        <f t="shared" ref="I291:I302" si="120">K291</f>
        <v>298500</v>
      </c>
      <c r="J291" s="936">
        <f t="shared" si="113"/>
        <v>1.0906101571063207</v>
      </c>
      <c r="K291" s="241">
        <f t="shared" ref="K291:K302" si="121">L291+S291+T291</f>
        <v>298500</v>
      </c>
      <c r="L291" s="236">
        <f t="shared" ref="L291:L302" si="122">SUM(M291:R291)</f>
        <v>0</v>
      </c>
      <c r="M291" s="236"/>
      <c r="N291" s="236"/>
      <c r="O291" s="236"/>
      <c r="P291" s="236"/>
      <c r="Q291" s="236"/>
      <c r="R291" s="236"/>
      <c r="S291" s="236"/>
      <c r="T291" s="236">
        <f t="shared" ref="T291:T302" si="123">SUM(U291:AD291)</f>
        <v>298500</v>
      </c>
      <c r="U291" s="236">
        <v>95900</v>
      </c>
      <c r="V291" s="236">
        <v>202600</v>
      </c>
      <c r="W291" s="236"/>
      <c r="X291" s="236"/>
      <c r="Y291" s="236"/>
      <c r="Z291" s="236"/>
      <c r="AA291" s="236"/>
      <c r="AB291" s="236"/>
      <c r="AC291" s="236"/>
      <c r="AD291" s="236"/>
      <c r="AE291" s="236"/>
    </row>
    <row r="292" spans="1:31" x14ac:dyDescent="0.2">
      <c r="A292" s="227"/>
      <c r="B292" s="227"/>
      <c r="C292" s="228" t="s">
        <v>495</v>
      </c>
      <c r="D292" s="229" t="s">
        <v>496</v>
      </c>
      <c r="E292" s="230" t="s">
        <v>702</v>
      </c>
      <c r="F292" s="231">
        <v>19045.669999999998</v>
      </c>
      <c r="G292" s="232">
        <f t="shared" si="111"/>
        <v>1</v>
      </c>
      <c r="H292" s="230" t="s">
        <v>702</v>
      </c>
      <c r="I292" s="234">
        <f t="shared" si="120"/>
        <v>19723</v>
      </c>
      <c r="J292" s="936">
        <f t="shared" si="113"/>
        <v>1.035563464031457</v>
      </c>
      <c r="K292" s="241">
        <f t="shared" si="121"/>
        <v>19723</v>
      </c>
      <c r="L292" s="236">
        <f t="shared" si="122"/>
        <v>0</v>
      </c>
      <c r="M292" s="236"/>
      <c r="N292" s="236"/>
      <c r="O292" s="236"/>
      <c r="P292" s="236"/>
      <c r="Q292" s="236"/>
      <c r="R292" s="236"/>
      <c r="S292" s="236"/>
      <c r="T292" s="236">
        <f t="shared" si="123"/>
        <v>19723</v>
      </c>
      <c r="U292" s="236">
        <v>5680</v>
      </c>
      <c r="V292" s="236">
        <v>14043</v>
      </c>
      <c r="W292" s="236"/>
      <c r="X292" s="236"/>
      <c r="Y292" s="236"/>
      <c r="Z292" s="236"/>
      <c r="AA292" s="236"/>
      <c r="AB292" s="236"/>
      <c r="AC292" s="236"/>
      <c r="AD292" s="236"/>
      <c r="AE292" s="236"/>
    </row>
    <row r="293" spans="1:31" x14ac:dyDescent="0.2">
      <c r="A293" s="227"/>
      <c r="B293" s="227"/>
      <c r="C293" s="228" t="s">
        <v>404</v>
      </c>
      <c r="D293" s="229" t="s">
        <v>405</v>
      </c>
      <c r="E293" s="230" t="s">
        <v>703</v>
      </c>
      <c r="F293" s="231">
        <v>32481.759999999998</v>
      </c>
      <c r="G293" s="232">
        <f t="shared" si="111"/>
        <v>0.6829351162692906</v>
      </c>
      <c r="H293" s="230" t="s">
        <v>703</v>
      </c>
      <c r="I293" s="234">
        <f t="shared" si="120"/>
        <v>51390</v>
      </c>
      <c r="J293" s="936">
        <f t="shared" si="113"/>
        <v>1.0804844203355619</v>
      </c>
      <c r="K293" s="241">
        <f t="shared" si="121"/>
        <v>51390</v>
      </c>
      <c r="L293" s="236">
        <f t="shared" si="122"/>
        <v>0</v>
      </c>
      <c r="M293" s="236"/>
      <c r="N293" s="236"/>
      <c r="O293" s="236"/>
      <c r="P293" s="236"/>
      <c r="Q293" s="236"/>
      <c r="R293" s="236"/>
      <c r="S293" s="236"/>
      <c r="T293" s="236">
        <f t="shared" si="123"/>
        <v>51390</v>
      </c>
      <c r="U293" s="236">
        <v>14155</v>
      </c>
      <c r="V293" s="236">
        <v>37235</v>
      </c>
      <c r="W293" s="236"/>
      <c r="X293" s="236"/>
      <c r="Y293" s="236"/>
      <c r="Z293" s="236"/>
      <c r="AA293" s="236"/>
      <c r="AB293" s="236"/>
      <c r="AC293" s="236"/>
      <c r="AD293" s="236"/>
      <c r="AE293" s="236"/>
    </row>
    <row r="294" spans="1:31" x14ac:dyDescent="0.2">
      <c r="A294" s="227"/>
      <c r="B294" s="227"/>
      <c r="C294" s="228" t="s">
        <v>407</v>
      </c>
      <c r="D294" s="229" t="s">
        <v>408</v>
      </c>
      <c r="E294" s="230" t="s">
        <v>704</v>
      </c>
      <c r="F294" s="231">
        <v>2785.2</v>
      </c>
      <c r="G294" s="232">
        <f t="shared" si="111"/>
        <v>0.41188997338065658</v>
      </c>
      <c r="H294" s="230" t="s">
        <v>704</v>
      </c>
      <c r="I294" s="234">
        <f t="shared" si="120"/>
        <v>7324</v>
      </c>
      <c r="J294" s="936">
        <f t="shared" si="113"/>
        <v>1.0831115054717539</v>
      </c>
      <c r="K294" s="241">
        <f t="shared" si="121"/>
        <v>7324</v>
      </c>
      <c r="L294" s="236">
        <f t="shared" si="122"/>
        <v>0</v>
      </c>
      <c r="M294" s="236"/>
      <c r="N294" s="236"/>
      <c r="O294" s="236"/>
      <c r="P294" s="236"/>
      <c r="Q294" s="236"/>
      <c r="R294" s="236"/>
      <c r="S294" s="236"/>
      <c r="T294" s="236">
        <f t="shared" si="123"/>
        <v>7324</v>
      </c>
      <c r="U294" s="236">
        <v>2017</v>
      </c>
      <c r="V294" s="236">
        <v>5307</v>
      </c>
      <c r="W294" s="236"/>
      <c r="X294" s="236"/>
      <c r="Y294" s="236"/>
      <c r="Z294" s="236"/>
      <c r="AA294" s="236"/>
      <c r="AB294" s="236"/>
      <c r="AC294" s="236"/>
      <c r="AD294" s="236"/>
      <c r="AE294" s="236"/>
    </row>
    <row r="295" spans="1:31" x14ac:dyDescent="0.2">
      <c r="A295" s="227"/>
      <c r="B295" s="227"/>
      <c r="C295" s="228" t="s">
        <v>420</v>
      </c>
      <c r="D295" s="229" t="s">
        <v>421</v>
      </c>
      <c r="E295" s="230" t="s">
        <v>113</v>
      </c>
      <c r="F295" s="231">
        <v>0</v>
      </c>
      <c r="G295" s="232">
        <f t="shared" si="111"/>
        <v>0</v>
      </c>
      <c r="H295" s="230" t="s">
        <v>113</v>
      </c>
      <c r="I295" s="234">
        <f t="shared" si="120"/>
        <v>0</v>
      </c>
      <c r="J295" s="936">
        <f t="shared" si="113"/>
        <v>0</v>
      </c>
      <c r="K295" s="241">
        <f t="shared" si="121"/>
        <v>0</v>
      </c>
      <c r="L295" s="236">
        <f t="shared" si="122"/>
        <v>0</v>
      </c>
      <c r="M295" s="236"/>
      <c r="N295" s="236"/>
      <c r="O295" s="236"/>
      <c r="P295" s="236"/>
      <c r="Q295" s="236"/>
      <c r="R295" s="236"/>
      <c r="S295" s="236"/>
      <c r="T295" s="236">
        <f t="shared" si="123"/>
        <v>0</v>
      </c>
      <c r="U295" s="236">
        <v>0</v>
      </c>
      <c r="V295" s="236">
        <v>0</v>
      </c>
      <c r="W295" s="236"/>
      <c r="X295" s="236"/>
      <c r="Y295" s="236"/>
      <c r="Z295" s="236"/>
      <c r="AA295" s="236"/>
      <c r="AB295" s="236"/>
      <c r="AC295" s="236"/>
      <c r="AD295" s="236"/>
      <c r="AE295" s="236"/>
    </row>
    <row r="296" spans="1:31" x14ac:dyDescent="0.2">
      <c r="A296" s="227"/>
      <c r="B296" s="227"/>
      <c r="C296" s="228" t="s">
        <v>410</v>
      </c>
      <c r="D296" s="229" t="s">
        <v>411</v>
      </c>
      <c r="E296" s="230" t="s">
        <v>705</v>
      </c>
      <c r="F296" s="231">
        <v>14266.86</v>
      </c>
      <c r="G296" s="232">
        <f t="shared" si="111"/>
        <v>0.52645239852398529</v>
      </c>
      <c r="H296" s="230" t="s">
        <v>705</v>
      </c>
      <c r="I296" s="234">
        <f t="shared" si="120"/>
        <v>35100</v>
      </c>
      <c r="J296" s="936">
        <f t="shared" si="113"/>
        <v>1.2952029520295203</v>
      </c>
      <c r="K296" s="241">
        <f t="shared" si="121"/>
        <v>35100</v>
      </c>
      <c r="L296" s="236">
        <f t="shared" si="122"/>
        <v>0</v>
      </c>
      <c r="M296" s="236"/>
      <c r="N296" s="236"/>
      <c r="O296" s="236"/>
      <c r="P296" s="236"/>
      <c r="Q296" s="236"/>
      <c r="R296" s="236"/>
      <c r="S296" s="236"/>
      <c r="T296" s="236">
        <f t="shared" si="123"/>
        <v>35100</v>
      </c>
      <c r="U296" s="236">
        <v>10100</v>
      </c>
      <c r="V296" s="236">
        <f>35000-10000</f>
        <v>25000</v>
      </c>
      <c r="W296" s="236"/>
      <c r="X296" s="236"/>
      <c r="Y296" s="236"/>
      <c r="Z296" s="236"/>
      <c r="AA296" s="236"/>
      <c r="AB296" s="236"/>
      <c r="AC296" s="236"/>
      <c r="AD296" s="236"/>
      <c r="AE296" s="236"/>
    </row>
    <row r="297" spans="1:31" x14ac:dyDescent="0.2">
      <c r="A297" s="227"/>
      <c r="B297" s="227"/>
      <c r="C297" s="228" t="s">
        <v>666</v>
      </c>
      <c r="D297" s="229" t="s">
        <v>667</v>
      </c>
      <c r="E297" s="230" t="s">
        <v>255</v>
      </c>
      <c r="F297" s="231">
        <v>159316.66</v>
      </c>
      <c r="G297" s="232">
        <f t="shared" si="111"/>
        <v>0.53105553333333333</v>
      </c>
      <c r="H297" s="230">
        <v>242000</v>
      </c>
      <c r="I297" s="234">
        <f t="shared" si="120"/>
        <v>262000</v>
      </c>
      <c r="J297" s="936">
        <f t="shared" si="113"/>
        <v>0.87333333333333329</v>
      </c>
      <c r="K297" s="241">
        <f t="shared" si="121"/>
        <v>262000</v>
      </c>
      <c r="L297" s="236">
        <f t="shared" si="122"/>
        <v>0</v>
      </c>
      <c r="M297" s="236"/>
      <c r="N297" s="236"/>
      <c r="O297" s="236"/>
      <c r="P297" s="236"/>
      <c r="Q297" s="236"/>
      <c r="R297" s="236"/>
      <c r="S297" s="236"/>
      <c r="T297" s="236">
        <f t="shared" si="123"/>
        <v>262000</v>
      </c>
      <c r="U297" s="236">
        <v>100000</v>
      </c>
      <c r="V297" s="236">
        <v>162000</v>
      </c>
      <c r="W297" s="236"/>
      <c r="X297" s="236"/>
      <c r="Y297" s="236"/>
      <c r="Z297" s="236"/>
      <c r="AA297" s="236"/>
      <c r="AB297" s="236"/>
      <c r="AC297" s="236"/>
      <c r="AD297" s="236"/>
      <c r="AE297" s="236"/>
    </row>
    <row r="298" spans="1:31" x14ac:dyDescent="0.2">
      <c r="A298" s="227"/>
      <c r="B298" s="227"/>
      <c r="C298" s="228" t="s">
        <v>438</v>
      </c>
      <c r="D298" s="229" t="s">
        <v>439</v>
      </c>
      <c r="E298" s="230" t="s">
        <v>465</v>
      </c>
      <c r="F298" s="231">
        <v>0</v>
      </c>
      <c r="G298" s="232">
        <f t="shared" si="111"/>
        <v>0</v>
      </c>
      <c r="H298" s="230" t="s">
        <v>465</v>
      </c>
      <c r="I298" s="234">
        <f t="shared" si="120"/>
        <v>1500</v>
      </c>
      <c r="J298" s="936">
        <f t="shared" si="113"/>
        <v>1</v>
      </c>
      <c r="K298" s="241">
        <f t="shared" si="121"/>
        <v>1500</v>
      </c>
      <c r="L298" s="236">
        <f t="shared" si="122"/>
        <v>0</v>
      </c>
      <c r="M298" s="236"/>
      <c r="N298" s="236"/>
      <c r="O298" s="236"/>
      <c r="P298" s="236"/>
      <c r="Q298" s="236"/>
      <c r="R298" s="236"/>
      <c r="S298" s="236"/>
      <c r="T298" s="236">
        <f t="shared" si="123"/>
        <v>1500</v>
      </c>
      <c r="U298" s="236">
        <v>1500</v>
      </c>
      <c r="V298" s="236">
        <v>0</v>
      </c>
      <c r="W298" s="236"/>
      <c r="X298" s="236"/>
      <c r="Y298" s="236"/>
      <c r="Z298" s="236"/>
      <c r="AA298" s="236"/>
      <c r="AB298" s="236"/>
      <c r="AC298" s="236"/>
      <c r="AD298" s="236"/>
      <c r="AE298" s="236"/>
    </row>
    <row r="299" spans="1:31" x14ac:dyDescent="0.2">
      <c r="A299" s="227"/>
      <c r="B299" s="227"/>
      <c r="C299" s="228" t="s">
        <v>524</v>
      </c>
      <c r="D299" s="229" t="s">
        <v>525</v>
      </c>
      <c r="E299" s="230" t="s">
        <v>706</v>
      </c>
      <c r="F299" s="231">
        <v>270</v>
      </c>
      <c r="G299" s="232">
        <f t="shared" si="111"/>
        <v>3.7241379310344824E-2</v>
      </c>
      <c r="H299" s="230" t="s">
        <v>706</v>
      </c>
      <c r="I299" s="234">
        <f t="shared" si="120"/>
        <v>1785</v>
      </c>
      <c r="J299" s="936">
        <f t="shared" si="113"/>
        <v>0.24620689655172415</v>
      </c>
      <c r="K299" s="241">
        <f t="shared" si="121"/>
        <v>1785</v>
      </c>
      <c r="L299" s="236">
        <f t="shared" si="122"/>
        <v>0</v>
      </c>
      <c r="M299" s="236"/>
      <c r="N299" s="236"/>
      <c r="O299" s="236"/>
      <c r="P299" s="236"/>
      <c r="Q299" s="236"/>
      <c r="R299" s="236"/>
      <c r="S299" s="236"/>
      <c r="T299" s="236">
        <f t="shared" si="123"/>
        <v>1785</v>
      </c>
      <c r="U299" s="236">
        <v>700</v>
      </c>
      <c r="V299" s="236">
        <v>1085</v>
      </c>
      <c r="W299" s="236"/>
      <c r="X299" s="236"/>
      <c r="Y299" s="236"/>
      <c r="Z299" s="236"/>
      <c r="AA299" s="236"/>
      <c r="AB299" s="236"/>
      <c r="AC299" s="236"/>
      <c r="AD299" s="236"/>
      <c r="AE299" s="236"/>
    </row>
    <row r="300" spans="1:31" x14ac:dyDescent="0.2">
      <c r="A300" s="227"/>
      <c r="B300" s="227"/>
      <c r="C300" s="228" t="s">
        <v>413</v>
      </c>
      <c r="D300" s="229" t="s">
        <v>414</v>
      </c>
      <c r="E300" s="230" t="s">
        <v>422</v>
      </c>
      <c r="F300" s="231">
        <v>369</v>
      </c>
      <c r="G300" s="232">
        <f t="shared" si="111"/>
        <v>8.2000000000000003E-2</v>
      </c>
      <c r="H300" s="230" t="s">
        <v>422</v>
      </c>
      <c r="I300" s="234">
        <f t="shared" si="120"/>
        <v>4700</v>
      </c>
      <c r="J300" s="936">
        <f t="shared" si="113"/>
        <v>1.0444444444444445</v>
      </c>
      <c r="K300" s="241">
        <f t="shared" si="121"/>
        <v>4700</v>
      </c>
      <c r="L300" s="236">
        <f t="shared" si="122"/>
        <v>0</v>
      </c>
      <c r="M300" s="236"/>
      <c r="N300" s="236"/>
      <c r="O300" s="236"/>
      <c r="P300" s="236"/>
      <c r="Q300" s="236"/>
      <c r="R300" s="236"/>
      <c r="S300" s="236"/>
      <c r="T300" s="236">
        <f t="shared" si="123"/>
        <v>4700</v>
      </c>
      <c r="U300" s="236">
        <v>4700</v>
      </c>
      <c r="V300" s="236">
        <v>0</v>
      </c>
      <c r="W300" s="236"/>
      <c r="X300" s="236"/>
      <c r="Y300" s="236"/>
      <c r="Z300" s="236"/>
      <c r="AA300" s="236"/>
      <c r="AB300" s="236"/>
      <c r="AC300" s="236"/>
      <c r="AD300" s="236"/>
      <c r="AE300" s="236"/>
    </row>
    <row r="301" spans="1:31" x14ac:dyDescent="0.2">
      <c r="A301" s="227"/>
      <c r="B301" s="227"/>
      <c r="C301" s="228" t="s">
        <v>537</v>
      </c>
      <c r="D301" s="229" t="s">
        <v>538</v>
      </c>
      <c r="E301" s="230" t="s">
        <v>707</v>
      </c>
      <c r="F301" s="231">
        <v>9995</v>
      </c>
      <c r="G301" s="232">
        <f t="shared" si="111"/>
        <v>1</v>
      </c>
      <c r="H301" s="230" t="s">
        <v>707</v>
      </c>
      <c r="I301" s="234">
        <f t="shared" si="120"/>
        <v>9485</v>
      </c>
      <c r="J301" s="936">
        <f t="shared" si="113"/>
        <v>0.94897448724362177</v>
      </c>
      <c r="K301" s="241">
        <f t="shared" si="121"/>
        <v>9485</v>
      </c>
      <c r="L301" s="236">
        <f t="shared" si="122"/>
        <v>0</v>
      </c>
      <c r="M301" s="236"/>
      <c r="N301" s="236"/>
      <c r="O301" s="236"/>
      <c r="P301" s="236"/>
      <c r="Q301" s="236"/>
      <c r="R301" s="236"/>
      <c r="S301" s="236"/>
      <c r="T301" s="236">
        <f t="shared" si="123"/>
        <v>9485</v>
      </c>
      <c r="U301" s="236">
        <v>2964</v>
      </c>
      <c r="V301" s="236">
        <v>6521</v>
      </c>
      <c r="W301" s="236"/>
      <c r="X301" s="236"/>
      <c r="Y301" s="236"/>
      <c r="Z301" s="236"/>
      <c r="AA301" s="236"/>
      <c r="AB301" s="236"/>
      <c r="AC301" s="236"/>
      <c r="AD301" s="236"/>
      <c r="AE301" s="236"/>
    </row>
    <row r="302" spans="1:31" x14ac:dyDescent="0.2">
      <c r="A302" s="227"/>
      <c r="B302" s="227"/>
      <c r="C302" s="228" t="s">
        <v>454</v>
      </c>
      <c r="D302" s="229" t="s">
        <v>455</v>
      </c>
      <c r="E302" s="230" t="s">
        <v>708</v>
      </c>
      <c r="F302" s="231">
        <v>11703.45</v>
      </c>
      <c r="G302" s="232">
        <f t="shared" si="111"/>
        <v>0.97528750000000008</v>
      </c>
      <c r="H302" s="233">
        <v>11703.45</v>
      </c>
      <c r="I302" s="234">
        <f t="shared" si="120"/>
        <v>0</v>
      </c>
      <c r="J302" s="936">
        <f t="shared" si="113"/>
        <v>0</v>
      </c>
      <c r="K302" s="241">
        <f t="shared" si="121"/>
        <v>0</v>
      </c>
      <c r="L302" s="236">
        <f t="shared" si="122"/>
        <v>0</v>
      </c>
      <c r="M302" s="236"/>
      <c r="N302" s="236"/>
      <c r="O302" s="236"/>
      <c r="P302" s="236"/>
      <c r="Q302" s="236"/>
      <c r="R302" s="236"/>
      <c r="S302" s="236"/>
      <c r="T302" s="236">
        <f t="shared" si="123"/>
        <v>0</v>
      </c>
      <c r="U302" s="236">
        <v>0</v>
      </c>
      <c r="V302" s="236">
        <v>0</v>
      </c>
      <c r="W302" s="236"/>
      <c r="X302" s="236"/>
      <c r="Y302" s="236"/>
      <c r="Z302" s="236"/>
      <c r="AA302" s="236"/>
      <c r="AB302" s="236"/>
      <c r="AC302" s="236"/>
      <c r="AD302" s="236"/>
      <c r="AE302" s="236"/>
    </row>
    <row r="303" spans="1:31" ht="56.25" x14ac:dyDescent="0.2">
      <c r="A303" s="219"/>
      <c r="B303" s="220" t="s">
        <v>709</v>
      </c>
      <c r="C303" s="221"/>
      <c r="D303" s="222" t="s">
        <v>710</v>
      </c>
      <c r="E303" s="223">
        <f>E304+E305+E306+E307+E308+E309+E310+E311+E312+E313+E314+E315</f>
        <v>338078.33999999997</v>
      </c>
      <c r="F303" s="223">
        <f t="shared" ref="F303:AE303" si="124">F304+F305+F306+F307+F308+F309+F310+F311+F312+F313+F314+F315</f>
        <v>203540.63</v>
      </c>
      <c r="G303" s="238">
        <f t="shared" si="111"/>
        <v>0.6020516724023196</v>
      </c>
      <c r="H303" s="223">
        <f t="shared" si="124"/>
        <v>338078.33999999997</v>
      </c>
      <c r="I303" s="225">
        <f t="shared" si="124"/>
        <v>157985</v>
      </c>
      <c r="J303" s="937">
        <f t="shared" si="113"/>
        <v>0.4673029333970346</v>
      </c>
      <c r="K303" s="925">
        <f t="shared" si="124"/>
        <v>157985</v>
      </c>
      <c r="L303" s="223">
        <f t="shared" si="124"/>
        <v>0</v>
      </c>
      <c r="M303" s="223">
        <f t="shared" si="124"/>
        <v>0</v>
      </c>
      <c r="N303" s="223">
        <f t="shared" si="124"/>
        <v>0</v>
      </c>
      <c r="O303" s="223">
        <f t="shared" si="124"/>
        <v>0</v>
      </c>
      <c r="P303" s="223">
        <f t="shared" si="124"/>
        <v>0</v>
      </c>
      <c r="Q303" s="223">
        <f t="shared" si="124"/>
        <v>0</v>
      </c>
      <c r="R303" s="226">
        <f>R304+R305+R306+R307+R308+R309+R310+R311+R312+R313+R314+R315</f>
        <v>0</v>
      </c>
      <c r="S303" s="223">
        <f t="shared" si="124"/>
        <v>0</v>
      </c>
      <c r="T303" s="223">
        <f t="shared" si="124"/>
        <v>157985</v>
      </c>
      <c r="U303" s="223">
        <f t="shared" si="124"/>
        <v>0</v>
      </c>
      <c r="V303" s="223">
        <f t="shared" si="124"/>
        <v>0</v>
      </c>
      <c r="W303" s="223">
        <f t="shared" si="124"/>
        <v>55103</v>
      </c>
      <c r="X303" s="223">
        <f t="shared" si="124"/>
        <v>0</v>
      </c>
      <c r="Y303" s="223">
        <f t="shared" si="124"/>
        <v>0</v>
      </c>
      <c r="Z303" s="223">
        <f t="shared" si="124"/>
        <v>6000</v>
      </c>
      <c r="AA303" s="223">
        <f t="shared" si="124"/>
        <v>0</v>
      </c>
      <c r="AB303" s="223">
        <f t="shared" si="124"/>
        <v>0</v>
      </c>
      <c r="AC303" s="223">
        <f t="shared" si="124"/>
        <v>96882</v>
      </c>
      <c r="AD303" s="223">
        <f t="shared" si="124"/>
        <v>0</v>
      </c>
      <c r="AE303" s="223">
        <f t="shared" si="124"/>
        <v>0</v>
      </c>
    </row>
    <row r="304" spans="1:31" ht="22.5" x14ac:dyDescent="0.2">
      <c r="A304" s="227"/>
      <c r="B304" s="227"/>
      <c r="C304" s="228" t="s">
        <v>657</v>
      </c>
      <c r="D304" s="229" t="s">
        <v>658</v>
      </c>
      <c r="E304" s="230" t="s">
        <v>711</v>
      </c>
      <c r="F304" s="231">
        <v>25536.32</v>
      </c>
      <c r="G304" s="232">
        <f t="shared" si="111"/>
        <v>1</v>
      </c>
      <c r="H304" s="230" t="s">
        <v>711</v>
      </c>
      <c r="I304" s="234">
        <f>K304</f>
        <v>0</v>
      </c>
      <c r="J304" s="936">
        <f t="shared" si="113"/>
        <v>0</v>
      </c>
      <c r="K304" s="241">
        <f>L304+S304+T304</f>
        <v>0</v>
      </c>
      <c r="L304" s="236">
        <f>SUM(M304:R304)</f>
        <v>0</v>
      </c>
      <c r="M304" s="236"/>
      <c r="N304" s="236"/>
      <c r="O304" s="236"/>
      <c r="P304" s="236"/>
      <c r="Q304" s="236"/>
      <c r="R304" s="236"/>
      <c r="S304" s="236"/>
      <c r="T304" s="236">
        <f>SUM(U304:AD304)</f>
        <v>0</v>
      </c>
      <c r="U304" s="236"/>
      <c r="V304" s="236"/>
      <c r="W304" s="236"/>
      <c r="X304" s="236"/>
      <c r="Y304" s="236"/>
      <c r="Z304" s="236"/>
      <c r="AA304" s="236"/>
      <c r="AB304" s="236"/>
      <c r="AC304" s="236"/>
      <c r="AD304" s="236"/>
      <c r="AE304" s="236"/>
    </row>
    <row r="305" spans="1:31" x14ac:dyDescent="0.2">
      <c r="A305" s="227"/>
      <c r="B305" s="227"/>
      <c r="C305" s="228" t="s">
        <v>491</v>
      </c>
      <c r="D305" s="229" t="s">
        <v>492</v>
      </c>
      <c r="E305" s="230" t="s">
        <v>712</v>
      </c>
      <c r="F305" s="231">
        <v>4081.26</v>
      </c>
      <c r="G305" s="232">
        <f t="shared" si="111"/>
        <v>0.91038590229756866</v>
      </c>
      <c r="H305" s="230" t="s">
        <v>712</v>
      </c>
      <c r="I305" s="234">
        <f t="shared" ref="I305:I315" si="125">K305</f>
        <v>0</v>
      </c>
      <c r="J305" s="936">
        <f t="shared" si="113"/>
        <v>0</v>
      </c>
      <c r="K305" s="241">
        <f t="shared" ref="K305:K315" si="126">L305+S305+T305</f>
        <v>0</v>
      </c>
      <c r="L305" s="236">
        <f t="shared" ref="L305:L315" si="127">SUM(M305:R305)</f>
        <v>0</v>
      </c>
      <c r="M305" s="236"/>
      <c r="N305" s="236"/>
      <c r="O305" s="236"/>
      <c r="P305" s="236"/>
      <c r="Q305" s="236"/>
      <c r="R305" s="236"/>
      <c r="S305" s="236"/>
      <c r="T305" s="236">
        <f t="shared" ref="T305:T315" si="128">SUM(U305:AD305)</f>
        <v>0</v>
      </c>
      <c r="U305" s="236"/>
      <c r="V305" s="236"/>
      <c r="W305" s="236">
        <v>0</v>
      </c>
      <c r="X305" s="236"/>
      <c r="Y305" s="236"/>
      <c r="Z305" s="236"/>
      <c r="AA305" s="236"/>
      <c r="AB305" s="236"/>
      <c r="AC305" s="236">
        <v>0</v>
      </c>
      <c r="AD305" s="236"/>
      <c r="AE305" s="236"/>
    </row>
    <row r="306" spans="1:31" x14ac:dyDescent="0.2">
      <c r="A306" s="227"/>
      <c r="B306" s="227"/>
      <c r="C306" s="228" t="s">
        <v>401</v>
      </c>
      <c r="D306" s="229" t="s">
        <v>402</v>
      </c>
      <c r="E306" s="230" t="s">
        <v>713</v>
      </c>
      <c r="F306" s="231">
        <v>132189.71</v>
      </c>
      <c r="G306" s="232">
        <f t="shared" si="111"/>
        <v>0.57949702669019498</v>
      </c>
      <c r="H306" s="230" t="s">
        <v>713</v>
      </c>
      <c r="I306" s="234">
        <f t="shared" si="125"/>
        <v>107000</v>
      </c>
      <c r="J306" s="936">
        <f t="shared" si="113"/>
        <v>0.46906965644943821</v>
      </c>
      <c r="K306" s="241">
        <f t="shared" si="126"/>
        <v>107000</v>
      </c>
      <c r="L306" s="236">
        <f t="shared" si="127"/>
        <v>0</v>
      </c>
      <c r="M306" s="236"/>
      <c r="N306" s="236"/>
      <c r="O306" s="236"/>
      <c r="P306" s="236"/>
      <c r="Q306" s="236"/>
      <c r="R306" s="236"/>
      <c r="S306" s="236"/>
      <c r="T306" s="236">
        <f t="shared" si="128"/>
        <v>107000</v>
      </c>
      <c r="U306" s="236"/>
      <c r="V306" s="236"/>
      <c r="W306" s="236">
        <v>35200</v>
      </c>
      <c r="X306" s="236"/>
      <c r="Y306" s="236"/>
      <c r="Z306" s="236"/>
      <c r="AA306" s="236"/>
      <c r="AB306" s="236"/>
      <c r="AC306" s="236">
        <v>71800</v>
      </c>
      <c r="AD306" s="236"/>
      <c r="AE306" s="236"/>
    </row>
    <row r="307" spans="1:31" x14ac:dyDescent="0.2">
      <c r="A307" s="227"/>
      <c r="B307" s="227"/>
      <c r="C307" s="228" t="s">
        <v>495</v>
      </c>
      <c r="D307" s="229" t="s">
        <v>496</v>
      </c>
      <c r="E307" s="230" t="s">
        <v>714</v>
      </c>
      <c r="F307" s="231">
        <v>10795.89</v>
      </c>
      <c r="G307" s="232">
        <f t="shared" si="111"/>
        <v>1</v>
      </c>
      <c r="H307" s="230" t="s">
        <v>714</v>
      </c>
      <c r="I307" s="234">
        <f t="shared" si="125"/>
        <v>9340</v>
      </c>
      <c r="J307" s="936">
        <f t="shared" si="113"/>
        <v>0.86514405018947027</v>
      </c>
      <c r="K307" s="241">
        <f t="shared" si="126"/>
        <v>9340</v>
      </c>
      <c r="L307" s="236">
        <f t="shared" si="127"/>
        <v>0</v>
      </c>
      <c r="M307" s="236"/>
      <c r="N307" s="236"/>
      <c r="O307" s="236"/>
      <c r="P307" s="236"/>
      <c r="Q307" s="236"/>
      <c r="R307" s="236"/>
      <c r="S307" s="236"/>
      <c r="T307" s="236">
        <f t="shared" si="128"/>
        <v>9340</v>
      </c>
      <c r="U307" s="236"/>
      <c r="V307" s="236"/>
      <c r="W307" s="236">
        <v>0</v>
      </c>
      <c r="X307" s="236"/>
      <c r="Y307" s="236"/>
      <c r="Z307" s="236"/>
      <c r="AA307" s="236"/>
      <c r="AB307" s="236"/>
      <c r="AC307" s="236">
        <v>9340</v>
      </c>
      <c r="AD307" s="236"/>
      <c r="AE307" s="236"/>
    </row>
    <row r="308" spans="1:31" x14ac:dyDescent="0.2">
      <c r="A308" s="227"/>
      <c r="B308" s="227"/>
      <c r="C308" s="228" t="s">
        <v>404</v>
      </c>
      <c r="D308" s="229" t="s">
        <v>405</v>
      </c>
      <c r="E308" s="230" t="s">
        <v>715</v>
      </c>
      <c r="F308" s="231">
        <v>24161.51</v>
      </c>
      <c r="G308" s="232">
        <f t="shared" si="111"/>
        <v>0.56589819247112005</v>
      </c>
      <c r="H308" s="230" t="s">
        <v>715</v>
      </c>
      <c r="I308" s="234">
        <f t="shared" si="125"/>
        <v>19833</v>
      </c>
      <c r="J308" s="936">
        <f t="shared" si="113"/>
        <v>0.46451810550250072</v>
      </c>
      <c r="K308" s="241">
        <f t="shared" si="126"/>
        <v>19833</v>
      </c>
      <c r="L308" s="236">
        <f t="shared" si="127"/>
        <v>0</v>
      </c>
      <c r="M308" s="236"/>
      <c r="N308" s="236"/>
      <c r="O308" s="236"/>
      <c r="P308" s="236"/>
      <c r="Q308" s="236"/>
      <c r="R308" s="236"/>
      <c r="S308" s="236"/>
      <c r="T308" s="236">
        <f t="shared" si="128"/>
        <v>19833</v>
      </c>
      <c r="U308" s="236"/>
      <c r="V308" s="236"/>
      <c r="W308" s="236">
        <v>6042</v>
      </c>
      <c r="X308" s="236"/>
      <c r="Y308" s="236"/>
      <c r="Z308" s="236"/>
      <c r="AA308" s="236"/>
      <c r="AB308" s="236"/>
      <c r="AC308" s="236">
        <v>13791</v>
      </c>
      <c r="AD308" s="236"/>
      <c r="AE308" s="236"/>
    </row>
    <row r="309" spans="1:31" x14ac:dyDescent="0.2">
      <c r="A309" s="227"/>
      <c r="B309" s="227"/>
      <c r="C309" s="228" t="s">
        <v>407</v>
      </c>
      <c r="D309" s="229" t="s">
        <v>408</v>
      </c>
      <c r="E309" s="230" t="s">
        <v>716</v>
      </c>
      <c r="F309" s="231">
        <v>2809.94</v>
      </c>
      <c r="G309" s="232">
        <f t="shared" si="111"/>
        <v>0.3484047433652897</v>
      </c>
      <c r="H309" s="230" t="s">
        <v>716</v>
      </c>
      <c r="I309" s="234">
        <f t="shared" si="125"/>
        <v>2812</v>
      </c>
      <c r="J309" s="936">
        <f t="shared" si="113"/>
        <v>0.34866016297258828</v>
      </c>
      <c r="K309" s="241">
        <f t="shared" si="126"/>
        <v>2812</v>
      </c>
      <c r="L309" s="236">
        <f t="shared" si="127"/>
        <v>0</v>
      </c>
      <c r="M309" s="236"/>
      <c r="N309" s="236"/>
      <c r="O309" s="236"/>
      <c r="P309" s="236"/>
      <c r="Q309" s="236"/>
      <c r="R309" s="236"/>
      <c r="S309" s="236"/>
      <c r="T309" s="236">
        <f t="shared" si="128"/>
        <v>2812</v>
      </c>
      <c r="U309" s="236"/>
      <c r="V309" s="236"/>
      <c r="W309" s="236">
        <v>861</v>
      </c>
      <c r="X309" s="236"/>
      <c r="Y309" s="236"/>
      <c r="Z309" s="236"/>
      <c r="AA309" s="236"/>
      <c r="AB309" s="236"/>
      <c r="AC309" s="236">
        <v>1951</v>
      </c>
      <c r="AD309" s="236"/>
      <c r="AE309" s="236"/>
    </row>
    <row r="310" spans="1:31" x14ac:dyDescent="0.2">
      <c r="A310" s="227"/>
      <c r="B310" s="227"/>
      <c r="C310" s="228" t="s">
        <v>410</v>
      </c>
      <c r="D310" s="229" t="s">
        <v>411</v>
      </c>
      <c r="E310" s="230" t="s">
        <v>717</v>
      </c>
      <c r="F310" s="231">
        <v>1000</v>
      </c>
      <c r="G310" s="232">
        <f t="shared" si="111"/>
        <v>0.25477707006369427</v>
      </c>
      <c r="H310" s="230" t="s">
        <v>717</v>
      </c>
      <c r="I310" s="234">
        <f t="shared" si="125"/>
        <v>8000</v>
      </c>
      <c r="J310" s="936">
        <f t="shared" si="113"/>
        <v>2.0382165605095541</v>
      </c>
      <c r="K310" s="241">
        <f t="shared" si="126"/>
        <v>8000</v>
      </c>
      <c r="L310" s="236">
        <f t="shared" si="127"/>
        <v>0</v>
      </c>
      <c r="M310" s="236"/>
      <c r="N310" s="236"/>
      <c r="O310" s="236"/>
      <c r="P310" s="236"/>
      <c r="Q310" s="236"/>
      <c r="R310" s="236"/>
      <c r="S310" s="236"/>
      <c r="T310" s="236">
        <f t="shared" si="128"/>
        <v>8000</v>
      </c>
      <c r="U310" s="236"/>
      <c r="V310" s="236"/>
      <c r="W310" s="236">
        <v>5000</v>
      </c>
      <c r="X310" s="236"/>
      <c r="Y310" s="236"/>
      <c r="Z310" s="236">
        <v>3000</v>
      </c>
      <c r="AA310" s="236"/>
      <c r="AB310" s="236"/>
      <c r="AC310" s="236"/>
      <c r="AD310" s="236"/>
      <c r="AE310" s="236"/>
    </row>
    <row r="311" spans="1:31" x14ac:dyDescent="0.2">
      <c r="A311" s="227"/>
      <c r="B311" s="227"/>
      <c r="C311" s="228" t="s">
        <v>630</v>
      </c>
      <c r="D311" s="229" t="s">
        <v>631</v>
      </c>
      <c r="E311" s="230" t="s">
        <v>161</v>
      </c>
      <c r="F311" s="231">
        <v>0</v>
      </c>
      <c r="G311" s="232">
        <f t="shared" si="111"/>
        <v>0</v>
      </c>
      <c r="H311" s="230" t="s">
        <v>161</v>
      </c>
      <c r="I311" s="234">
        <f t="shared" si="125"/>
        <v>8000</v>
      </c>
      <c r="J311" s="936">
        <f t="shared" si="113"/>
        <v>1.3333333333333333</v>
      </c>
      <c r="K311" s="241">
        <f t="shared" si="126"/>
        <v>8000</v>
      </c>
      <c r="L311" s="236">
        <f t="shared" si="127"/>
        <v>0</v>
      </c>
      <c r="M311" s="236"/>
      <c r="N311" s="236"/>
      <c r="O311" s="236"/>
      <c r="P311" s="236"/>
      <c r="Q311" s="236"/>
      <c r="R311" s="236"/>
      <c r="S311" s="236"/>
      <c r="T311" s="236">
        <f t="shared" si="128"/>
        <v>8000</v>
      </c>
      <c r="U311" s="236"/>
      <c r="V311" s="236"/>
      <c r="W311" s="236">
        <v>5000</v>
      </c>
      <c r="X311" s="236"/>
      <c r="Y311" s="236"/>
      <c r="Z311" s="236">
        <v>3000</v>
      </c>
      <c r="AA311" s="236"/>
      <c r="AB311" s="236"/>
      <c r="AC311" s="236"/>
      <c r="AD311" s="236"/>
      <c r="AE311" s="236"/>
    </row>
    <row r="312" spans="1:31" hidden="1" x14ac:dyDescent="0.2">
      <c r="A312" s="227"/>
      <c r="B312" s="227"/>
      <c r="C312" s="228" t="s">
        <v>424</v>
      </c>
      <c r="D312" s="229" t="s">
        <v>425</v>
      </c>
      <c r="E312" s="230" t="s">
        <v>39</v>
      </c>
      <c r="F312" s="231">
        <v>0</v>
      </c>
      <c r="G312" s="232" t="e">
        <f t="shared" si="111"/>
        <v>#DIV/0!</v>
      </c>
      <c r="H312" s="230" t="s">
        <v>39</v>
      </c>
      <c r="I312" s="234">
        <f t="shared" si="125"/>
        <v>0</v>
      </c>
      <c r="J312" s="936" t="e">
        <f t="shared" si="113"/>
        <v>#DIV/0!</v>
      </c>
      <c r="K312" s="241">
        <f t="shared" si="126"/>
        <v>0</v>
      </c>
      <c r="L312" s="236">
        <f t="shared" si="127"/>
        <v>0</v>
      </c>
      <c r="M312" s="236"/>
      <c r="N312" s="236"/>
      <c r="O312" s="236"/>
      <c r="P312" s="236"/>
      <c r="Q312" s="236"/>
      <c r="R312" s="236"/>
      <c r="S312" s="236"/>
      <c r="T312" s="236">
        <f t="shared" si="128"/>
        <v>0</v>
      </c>
      <c r="U312" s="236"/>
      <c r="V312" s="236"/>
      <c r="W312" s="236">
        <v>0</v>
      </c>
      <c r="X312" s="236"/>
      <c r="Y312" s="236"/>
      <c r="Z312" s="236"/>
      <c r="AA312" s="236"/>
      <c r="AB312" s="236"/>
      <c r="AC312" s="236"/>
      <c r="AD312" s="236"/>
      <c r="AE312" s="236"/>
    </row>
    <row r="313" spans="1:31" x14ac:dyDescent="0.2">
      <c r="A313" s="227"/>
      <c r="B313" s="227"/>
      <c r="C313" s="228" t="s">
        <v>438</v>
      </c>
      <c r="D313" s="229" t="s">
        <v>439</v>
      </c>
      <c r="E313" s="230" t="s">
        <v>473</v>
      </c>
      <c r="F313" s="231">
        <v>0</v>
      </c>
      <c r="G313" s="232">
        <f t="shared" si="111"/>
        <v>0</v>
      </c>
      <c r="H313" s="230" t="s">
        <v>473</v>
      </c>
      <c r="I313" s="234">
        <f t="shared" si="125"/>
        <v>3000</v>
      </c>
      <c r="J313" s="936">
        <f t="shared" si="113"/>
        <v>0.54545454545454541</v>
      </c>
      <c r="K313" s="241">
        <f t="shared" si="126"/>
        <v>3000</v>
      </c>
      <c r="L313" s="236">
        <f t="shared" si="127"/>
        <v>0</v>
      </c>
      <c r="M313" s="236"/>
      <c r="N313" s="236"/>
      <c r="O313" s="236"/>
      <c r="P313" s="236"/>
      <c r="Q313" s="236"/>
      <c r="R313" s="236"/>
      <c r="S313" s="236"/>
      <c r="T313" s="236">
        <f t="shared" si="128"/>
        <v>3000</v>
      </c>
      <c r="U313" s="236"/>
      <c r="V313" s="236"/>
      <c r="W313" s="236">
        <v>3000</v>
      </c>
      <c r="X313" s="236"/>
      <c r="Y313" s="236"/>
      <c r="Z313" s="236"/>
      <c r="AA313" s="236"/>
      <c r="AB313" s="236"/>
      <c r="AC313" s="236"/>
      <c r="AD313" s="236"/>
      <c r="AE313" s="236"/>
    </row>
    <row r="314" spans="1:31" hidden="1" x14ac:dyDescent="0.2">
      <c r="A314" s="227"/>
      <c r="B314" s="227"/>
      <c r="C314" s="228" t="s">
        <v>413</v>
      </c>
      <c r="D314" s="229" t="s">
        <v>414</v>
      </c>
      <c r="E314" s="230" t="s">
        <v>39</v>
      </c>
      <c r="F314" s="231">
        <v>0</v>
      </c>
      <c r="G314" s="232" t="e">
        <f t="shared" si="111"/>
        <v>#DIV/0!</v>
      </c>
      <c r="H314" s="230" t="s">
        <v>39</v>
      </c>
      <c r="I314" s="234">
        <f t="shared" si="125"/>
        <v>0</v>
      </c>
      <c r="J314" s="936" t="e">
        <f t="shared" si="113"/>
        <v>#DIV/0!</v>
      </c>
      <c r="K314" s="241">
        <f t="shared" si="126"/>
        <v>0</v>
      </c>
      <c r="L314" s="236">
        <f t="shared" si="127"/>
        <v>0</v>
      </c>
      <c r="M314" s="236"/>
      <c r="N314" s="236"/>
      <c r="O314" s="236"/>
      <c r="P314" s="236"/>
      <c r="Q314" s="236"/>
      <c r="R314" s="236"/>
      <c r="S314" s="236"/>
      <c r="T314" s="236">
        <f t="shared" si="128"/>
        <v>0</v>
      </c>
      <c r="U314" s="236"/>
      <c r="V314" s="236"/>
      <c r="W314" s="236"/>
      <c r="X314" s="236"/>
      <c r="Y314" s="236"/>
      <c r="Z314" s="236"/>
      <c r="AA314" s="236"/>
      <c r="AB314" s="236"/>
      <c r="AC314" s="236"/>
      <c r="AD314" s="236"/>
      <c r="AE314" s="236"/>
    </row>
    <row r="315" spans="1:31" x14ac:dyDescent="0.2">
      <c r="A315" s="227"/>
      <c r="B315" s="227"/>
      <c r="C315" s="228" t="s">
        <v>537</v>
      </c>
      <c r="D315" s="229" t="s">
        <v>538</v>
      </c>
      <c r="E315" s="230" t="s">
        <v>718</v>
      </c>
      <c r="F315" s="231">
        <v>2966</v>
      </c>
      <c r="G315" s="232">
        <f t="shared" si="111"/>
        <v>1</v>
      </c>
      <c r="H315" s="230" t="s">
        <v>718</v>
      </c>
      <c r="I315" s="234">
        <f t="shared" si="125"/>
        <v>0</v>
      </c>
      <c r="J315" s="936">
        <f t="shared" si="113"/>
        <v>0</v>
      </c>
      <c r="K315" s="241">
        <f t="shared" si="126"/>
        <v>0</v>
      </c>
      <c r="L315" s="236">
        <f t="shared" si="127"/>
        <v>0</v>
      </c>
      <c r="M315" s="236"/>
      <c r="N315" s="236"/>
      <c r="O315" s="236"/>
      <c r="P315" s="236"/>
      <c r="Q315" s="236"/>
      <c r="R315" s="236"/>
      <c r="S315" s="236"/>
      <c r="T315" s="236">
        <f t="shared" si="128"/>
        <v>0</v>
      </c>
      <c r="U315" s="236"/>
      <c r="V315" s="236"/>
      <c r="W315" s="236"/>
      <c r="X315" s="236"/>
      <c r="Y315" s="236"/>
      <c r="Z315" s="236"/>
      <c r="AA315" s="236"/>
      <c r="AB315" s="236"/>
      <c r="AC315" s="236"/>
      <c r="AD315" s="236"/>
      <c r="AE315" s="236"/>
    </row>
    <row r="316" spans="1:31" ht="33.75" x14ac:dyDescent="0.2">
      <c r="A316" s="219"/>
      <c r="B316" s="220" t="s">
        <v>719</v>
      </c>
      <c r="C316" s="221"/>
      <c r="D316" s="222" t="s">
        <v>720</v>
      </c>
      <c r="E316" s="223">
        <f>E317+E318+E319+E320+E321+E322+E323+E324+E325+E326+E327+E328</f>
        <v>538485</v>
      </c>
      <c r="F316" s="223">
        <f t="shared" ref="F316:AE316" si="129">F317+F318+F319+F320+F321+F322+F323+F324+F325+F326+F327+F328</f>
        <v>297958.93</v>
      </c>
      <c r="G316" s="238">
        <f t="shared" si="111"/>
        <v>0.5533281892717532</v>
      </c>
      <c r="H316" s="223">
        <f t="shared" si="129"/>
        <v>538485</v>
      </c>
      <c r="I316" s="225">
        <f t="shared" si="129"/>
        <v>652952</v>
      </c>
      <c r="J316" s="937">
        <f t="shared" si="113"/>
        <v>1.2125723093493783</v>
      </c>
      <c r="K316" s="925">
        <f t="shared" si="129"/>
        <v>652952</v>
      </c>
      <c r="L316" s="223">
        <f t="shared" si="129"/>
        <v>0</v>
      </c>
      <c r="M316" s="223">
        <f t="shared" si="129"/>
        <v>0</v>
      </c>
      <c r="N316" s="223">
        <f t="shared" si="129"/>
        <v>0</v>
      </c>
      <c r="O316" s="223">
        <f t="shared" si="129"/>
        <v>0</v>
      </c>
      <c r="P316" s="223">
        <f t="shared" si="129"/>
        <v>0</v>
      </c>
      <c r="Q316" s="223">
        <f t="shared" si="129"/>
        <v>0</v>
      </c>
      <c r="R316" s="226">
        <f>R317+R318+R319+R320+R321+R322+R323+R324+R325+R326+R327+R328</f>
        <v>0</v>
      </c>
      <c r="S316" s="223">
        <f t="shared" si="129"/>
        <v>0</v>
      </c>
      <c r="T316" s="223">
        <f t="shared" si="129"/>
        <v>652952</v>
      </c>
      <c r="U316" s="223">
        <f t="shared" si="129"/>
        <v>194159</v>
      </c>
      <c r="V316" s="223">
        <f t="shared" si="129"/>
        <v>175333</v>
      </c>
      <c r="W316" s="223">
        <f t="shared" si="129"/>
        <v>43677</v>
      </c>
      <c r="X316" s="223">
        <f t="shared" si="129"/>
        <v>0</v>
      </c>
      <c r="Y316" s="223">
        <f t="shared" si="129"/>
        <v>20547</v>
      </c>
      <c r="Z316" s="223">
        <f t="shared" si="129"/>
        <v>219236</v>
      </c>
      <c r="AA316" s="223">
        <f t="shared" si="129"/>
        <v>0</v>
      </c>
      <c r="AB316" s="223">
        <f t="shared" si="129"/>
        <v>0</v>
      </c>
      <c r="AC316" s="223">
        <f t="shared" si="129"/>
        <v>0</v>
      </c>
      <c r="AD316" s="223">
        <f t="shared" si="129"/>
        <v>0</v>
      </c>
      <c r="AE316" s="223">
        <f t="shared" si="129"/>
        <v>0</v>
      </c>
    </row>
    <row r="317" spans="1:31" x14ac:dyDescent="0.2">
      <c r="A317" s="227"/>
      <c r="B317" s="227"/>
      <c r="C317" s="228" t="s">
        <v>491</v>
      </c>
      <c r="D317" s="229" t="s">
        <v>492</v>
      </c>
      <c r="E317" s="230" t="s">
        <v>721</v>
      </c>
      <c r="F317" s="231">
        <v>1365.51</v>
      </c>
      <c r="G317" s="232">
        <f t="shared" si="111"/>
        <v>0.12004483516483516</v>
      </c>
      <c r="H317" s="230" t="s">
        <v>721</v>
      </c>
      <c r="I317" s="234">
        <f>K317</f>
        <v>0</v>
      </c>
      <c r="J317" s="936">
        <f t="shared" si="113"/>
        <v>0</v>
      </c>
      <c r="K317" s="241">
        <f>L317+S317+T317</f>
        <v>0</v>
      </c>
      <c r="L317" s="236">
        <f>SUM(M317:R317)</f>
        <v>0</v>
      </c>
      <c r="M317" s="236"/>
      <c r="N317" s="236"/>
      <c r="O317" s="236"/>
      <c r="P317" s="236"/>
      <c r="Q317" s="236"/>
      <c r="R317" s="236"/>
      <c r="S317" s="236"/>
      <c r="T317" s="236">
        <f>SUM(U317:AD317)</f>
        <v>0</v>
      </c>
      <c r="U317" s="236">
        <v>0</v>
      </c>
      <c r="V317" s="236">
        <v>0</v>
      </c>
      <c r="W317" s="236">
        <v>0</v>
      </c>
      <c r="X317" s="236"/>
      <c r="Y317" s="236">
        <v>0</v>
      </c>
      <c r="Z317" s="236"/>
      <c r="AA317" s="236"/>
      <c r="AB317" s="236"/>
      <c r="AC317" s="236"/>
      <c r="AD317" s="236"/>
      <c r="AE317" s="236"/>
    </row>
    <row r="318" spans="1:31" x14ac:dyDescent="0.2">
      <c r="A318" s="227"/>
      <c r="B318" s="227"/>
      <c r="C318" s="228" t="s">
        <v>401</v>
      </c>
      <c r="D318" s="229" t="s">
        <v>402</v>
      </c>
      <c r="E318" s="230" t="s">
        <v>722</v>
      </c>
      <c r="F318" s="231">
        <v>226217.51</v>
      </c>
      <c r="G318" s="232">
        <f t="shared" si="111"/>
        <v>0.59637172014351891</v>
      </c>
      <c r="H318" s="230" t="s">
        <v>722</v>
      </c>
      <c r="I318" s="234">
        <f t="shared" ref="I318:I328" si="130">K318</f>
        <v>516100</v>
      </c>
      <c r="J318" s="936">
        <f t="shared" si="113"/>
        <v>1.3605818787682264</v>
      </c>
      <c r="K318" s="241">
        <f t="shared" ref="K318:K328" si="131">L318+S318+T318</f>
        <v>516100</v>
      </c>
      <c r="L318" s="236">
        <f t="shared" ref="L318:L328" si="132">SUM(M318:R318)</f>
        <v>0</v>
      </c>
      <c r="M318" s="236"/>
      <c r="N318" s="236"/>
      <c r="O318" s="236"/>
      <c r="P318" s="236"/>
      <c r="Q318" s="236"/>
      <c r="R318" s="236"/>
      <c r="S318" s="236"/>
      <c r="T318" s="236">
        <f t="shared" ref="T318:T333" si="133">SUM(U318:AD318)</f>
        <v>516100</v>
      </c>
      <c r="U318" s="236">
        <v>154000</v>
      </c>
      <c r="V318" s="236">
        <v>142500</v>
      </c>
      <c r="W318" s="236">
        <v>31500</v>
      </c>
      <c r="X318" s="236"/>
      <c r="Y318" s="236">
        <v>11400</v>
      </c>
      <c r="Z318" s="236">
        <v>176700</v>
      </c>
      <c r="AA318" s="236"/>
      <c r="AB318" s="236"/>
      <c r="AC318" s="236"/>
      <c r="AD318" s="236"/>
      <c r="AE318" s="236"/>
    </row>
    <row r="319" spans="1:31" x14ac:dyDescent="0.2">
      <c r="A319" s="227"/>
      <c r="B319" s="227"/>
      <c r="C319" s="228" t="s">
        <v>495</v>
      </c>
      <c r="D319" s="229" t="s">
        <v>496</v>
      </c>
      <c r="E319" s="230" t="s">
        <v>723</v>
      </c>
      <c r="F319" s="231">
        <v>16443</v>
      </c>
      <c r="G319" s="232">
        <f t="shared" si="111"/>
        <v>1</v>
      </c>
      <c r="H319" s="230" t="s">
        <v>723</v>
      </c>
      <c r="I319" s="234">
        <f t="shared" si="130"/>
        <v>0</v>
      </c>
      <c r="J319" s="936">
        <f t="shared" si="113"/>
        <v>0</v>
      </c>
      <c r="K319" s="241">
        <f t="shared" si="131"/>
        <v>0</v>
      </c>
      <c r="L319" s="236">
        <f t="shared" si="132"/>
        <v>0</v>
      </c>
      <c r="M319" s="236"/>
      <c r="N319" s="236"/>
      <c r="O319" s="236"/>
      <c r="P319" s="236"/>
      <c r="Q319" s="236"/>
      <c r="R319" s="236"/>
      <c r="S319" s="236"/>
      <c r="T319" s="236">
        <f t="shared" si="133"/>
        <v>0</v>
      </c>
      <c r="U319" s="236">
        <v>0</v>
      </c>
      <c r="V319" s="236">
        <v>0</v>
      </c>
      <c r="W319" s="236">
        <v>0</v>
      </c>
      <c r="X319" s="236"/>
      <c r="Y319" s="236">
        <v>0</v>
      </c>
      <c r="Z319" s="236">
        <v>0</v>
      </c>
      <c r="AA319" s="236"/>
      <c r="AB319" s="236"/>
      <c r="AC319" s="236"/>
      <c r="AD319" s="236"/>
      <c r="AE319" s="236"/>
    </row>
    <row r="320" spans="1:31" x14ac:dyDescent="0.2">
      <c r="A320" s="227"/>
      <c r="B320" s="227"/>
      <c r="C320" s="228" t="s">
        <v>404</v>
      </c>
      <c r="D320" s="229" t="s">
        <v>405</v>
      </c>
      <c r="E320" s="230" t="s">
        <v>724</v>
      </c>
      <c r="F320" s="231">
        <v>35999.22</v>
      </c>
      <c r="G320" s="232">
        <f t="shared" si="111"/>
        <v>0.5900447460294046</v>
      </c>
      <c r="H320" s="230" t="s">
        <v>724</v>
      </c>
      <c r="I320" s="234">
        <f t="shared" si="130"/>
        <v>88251</v>
      </c>
      <c r="J320" s="936">
        <f t="shared" si="113"/>
        <v>1.446476864827654</v>
      </c>
      <c r="K320" s="241">
        <f t="shared" si="131"/>
        <v>88251</v>
      </c>
      <c r="L320" s="236">
        <f t="shared" si="132"/>
        <v>0</v>
      </c>
      <c r="M320" s="236"/>
      <c r="N320" s="236"/>
      <c r="O320" s="236"/>
      <c r="P320" s="236"/>
      <c r="Q320" s="236"/>
      <c r="R320" s="236"/>
      <c r="S320" s="236"/>
      <c r="T320" s="236">
        <f t="shared" si="133"/>
        <v>88251</v>
      </c>
      <c r="U320" s="236">
        <v>26397</v>
      </c>
      <c r="V320" s="236">
        <v>24361</v>
      </c>
      <c r="W320" s="236">
        <v>5406</v>
      </c>
      <c r="X320" s="236"/>
      <c r="Y320" s="236">
        <v>1879</v>
      </c>
      <c r="Z320" s="236">
        <v>30208</v>
      </c>
      <c r="AA320" s="236"/>
      <c r="AB320" s="236"/>
      <c r="AC320" s="236"/>
      <c r="AD320" s="236"/>
      <c r="AE320" s="236"/>
    </row>
    <row r="321" spans="1:31" x14ac:dyDescent="0.2">
      <c r="A321" s="227"/>
      <c r="B321" s="227"/>
      <c r="C321" s="228" t="s">
        <v>407</v>
      </c>
      <c r="D321" s="229" t="s">
        <v>408</v>
      </c>
      <c r="E321" s="230" t="s">
        <v>725</v>
      </c>
      <c r="F321" s="231">
        <v>5062.6899999999996</v>
      </c>
      <c r="G321" s="232">
        <f t="shared" si="111"/>
        <v>0.44558088364724519</v>
      </c>
      <c r="H321" s="230" t="s">
        <v>725</v>
      </c>
      <c r="I321" s="234">
        <f t="shared" si="130"/>
        <v>12601</v>
      </c>
      <c r="J321" s="936">
        <f t="shared" si="113"/>
        <v>1.1090477028692132</v>
      </c>
      <c r="K321" s="241">
        <f t="shared" si="131"/>
        <v>12601</v>
      </c>
      <c r="L321" s="236">
        <f t="shared" si="132"/>
        <v>0</v>
      </c>
      <c r="M321" s="236"/>
      <c r="N321" s="236"/>
      <c r="O321" s="236"/>
      <c r="P321" s="236"/>
      <c r="Q321" s="236"/>
      <c r="R321" s="236"/>
      <c r="S321" s="236"/>
      <c r="T321" s="236">
        <f t="shared" si="133"/>
        <v>12601</v>
      </c>
      <c r="U321" s="236">
        <v>3762</v>
      </c>
      <c r="V321" s="236">
        <v>3472</v>
      </c>
      <c r="W321" s="236">
        <v>771</v>
      </c>
      <c r="X321" s="236"/>
      <c r="Y321" s="236">
        <v>268</v>
      </c>
      <c r="Z321" s="236">
        <v>4328</v>
      </c>
      <c r="AA321" s="236"/>
      <c r="AB321" s="236"/>
      <c r="AC321" s="236"/>
      <c r="AD321" s="236"/>
      <c r="AE321" s="236"/>
    </row>
    <row r="322" spans="1:31" x14ac:dyDescent="0.2">
      <c r="A322" s="227"/>
      <c r="B322" s="227"/>
      <c r="C322" s="228" t="s">
        <v>410</v>
      </c>
      <c r="D322" s="229" t="s">
        <v>411</v>
      </c>
      <c r="E322" s="230" t="s">
        <v>726</v>
      </c>
      <c r="F322" s="231">
        <v>0</v>
      </c>
      <c r="G322" s="232">
        <f t="shared" si="111"/>
        <v>0</v>
      </c>
      <c r="H322" s="230" t="s">
        <v>726</v>
      </c>
      <c r="I322" s="234">
        <f t="shared" si="130"/>
        <v>14000</v>
      </c>
      <c r="J322" s="936">
        <f t="shared" si="113"/>
        <v>1.5384615384615385</v>
      </c>
      <c r="K322" s="241">
        <f t="shared" si="131"/>
        <v>14000</v>
      </c>
      <c r="L322" s="236">
        <f t="shared" si="132"/>
        <v>0</v>
      </c>
      <c r="M322" s="236"/>
      <c r="N322" s="236"/>
      <c r="O322" s="236"/>
      <c r="P322" s="236"/>
      <c r="Q322" s="236"/>
      <c r="R322" s="236"/>
      <c r="S322" s="236"/>
      <c r="T322" s="236">
        <f t="shared" si="133"/>
        <v>14000</v>
      </c>
      <c r="U322" s="236">
        <v>3000</v>
      </c>
      <c r="V322" s="236">
        <v>3000</v>
      </c>
      <c r="W322" s="236">
        <v>3000</v>
      </c>
      <c r="X322" s="236"/>
      <c r="Y322" s="236">
        <v>2000</v>
      </c>
      <c r="Z322" s="236">
        <v>3000</v>
      </c>
      <c r="AA322" s="236"/>
      <c r="AB322" s="236"/>
      <c r="AC322" s="236"/>
      <c r="AD322" s="236"/>
      <c r="AE322" s="236"/>
    </row>
    <row r="323" spans="1:31" x14ac:dyDescent="0.2">
      <c r="A323" s="227"/>
      <c r="B323" s="227"/>
      <c r="C323" s="228" t="s">
        <v>630</v>
      </c>
      <c r="D323" s="229" t="s">
        <v>631</v>
      </c>
      <c r="E323" s="230" t="s">
        <v>727</v>
      </c>
      <c r="F323" s="231">
        <v>1000</v>
      </c>
      <c r="G323" s="232">
        <f t="shared" si="111"/>
        <v>0.14285714285714285</v>
      </c>
      <c r="H323" s="230" t="s">
        <v>727</v>
      </c>
      <c r="I323" s="234">
        <f t="shared" si="130"/>
        <v>17000</v>
      </c>
      <c r="J323" s="936">
        <f t="shared" si="113"/>
        <v>2.4285714285714284</v>
      </c>
      <c r="K323" s="241">
        <f t="shared" si="131"/>
        <v>17000</v>
      </c>
      <c r="L323" s="236">
        <f t="shared" si="132"/>
        <v>0</v>
      </c>
      <c r="M323" s="236"/>
      <c r="N323" s="236"/>
      <c r="O323" s="236"/>
      <c r="P323" s="236"/>
      <c r="Q323" s="236"/>
      <c r="R323" s="236"/>
      <c r="S323" s="236"/>
      <c r="T323" s="236">
        <f t="shared" si="133"/>
        <v>17000</v>
      </c>
      <c r="U323" s="236">
        <v>2000</v>
      </c>
      <c r="V323" s="236">
        <v>2000</v>
      </c>
      <c r="W323" s="236">
        <v>3000</v>
      </c>
      <c r="X323" s="236"/>
      <c r="Y323" s="236">
        <v>5000</v>
      </c>
      <c r="Z323" s="236">
        <v>5000</v>
      </c>
      <c r="AA323" s="236"/>
      <c r="AB323" s="236"/>
      <c r="AC323" s="236"/>
      <c r="AD323" s="236"/>
      <c r="AE323" s="236"/>
    </row>
    <row r="324" spans="1:31" hidden="1" x14ac:dyDescent="0.2">
      <c r="A324" s="227"/>
      <c r="B324" s="227"/>
      <c r="C324" s="228" t="s">
        <v>424</v>
      </c>
      <c r="D324" s="229" t="s">
        <v>425</v>
      </c>
      <c r="E324" s="230" t="s">
        <v>39</v>
      </c>
      <c r="F324" s="231">
        <v>0</v>
      </c>
      <c r="G324" s="232" t="e">
        <f t="shared" si="111"/>
        <v>#DIV/0!</v>
      </c>
      <c r="H324" s="230" t="s">
        <v>39</v>
      </c>
      <c r="I324" s="234">
        <f t="shared" si="130"/>
        <v>0</v>
      </c>
      <c r="J324" s="936" t="e">
        <f t="shared" si="113"/>
        <v>#DIV/0!</v>
      </c>
      <c r="K324" s="241">
        <f t="shared" si="131"/>
        <v>0</v>
      </c>
      <c r="L324" s="236">
        <f t="shared" si="132"/>
        <v>0</v>
      </c>
      <c r="M324" s="236"/>
      <c r="N324" s="236"/>
      <c r="O324" s="236"/>
      <c r="P324" s="236"/>
      <c r="Q324" s="236"/>
      <c r="R324" s="236"/>
      <c r="S324" s="236"/>
      <c r="T324" s="236">
        <f t="shared" si="133"/>
        <v>0</v>
      </c>
      <c r="U324" s="236">
        <v>0</v>
      </c>
      <c r="V324" s="236">
        <v>0</v>
      </c>
      <c r="W324" s="236"/>
      <c r="X324" s="236"/>
      <c r="Y324" s="236"/>
      <c r="Z324" s="236"/>
      <c r="AA324" s="236"/>
      <c r="AB324" s="236"/>
      <c r="AC324" s="236"/>
      <c r="AD324" s="236"/>
      <c r="AE324" s="236"/>
    </row>
    <row r="325" spans="1:31" x14ac:dyDescent="0.2">
      <c r="A325" s="227"/>
      <c r="B325" s="227"/>
      <c r="C325" s="228" t="s">
        <v>438</v>
      </c>
      <c r="D325" s="229" t="s">
        <v>439</v>
      </c>
      <c r="E325" s="230" t="s">
        <v>233</v>
      </c>
      <c r="F325" s="231">
        <v>0</v>
      </c>
      <c r="G325" s="232">
        <f t="shared" si="111"/>
        <v>0</v>
      </c>
      <c r="H325" s="230" t="s">
        <v>233</v>
      </c>
      <c r="I325" s="234">
        <f t="shared" si="130"/>
        <v>5000</v>
      </c>
      <c r="J325" s="936">
        <f t="shared" si="113"/>
        <v>0.16129032258064516</v>
      </c>
      <c r="K325" s="241">
        <f t="shared" si="131"/>
        <v>5000</v>
      </c>
      <c r="L325" s="236">
        <f t="shared" si="132"/>
        <v>0</v>
      </c>
      <c r="M325" s="236"/>
      <c r="N325" s="236"/>
      <c r="O325" s="236"/>
      <c r="P325" s="236"/>
      <c r="Q325" s="236"/>
      <c r="R325" s="236"/>
      <c r="S325" s="236"/>
      <c r="T325" s="236">
        <f t="shared" si="133"/>
        <v>5000</v>
      </c>
      <c r="U325" s="236">
        <v>5000</v>
      </c>
      <c r="V325" s="236">
        <v>0</v>
      </c>
      <c r="W325" s="236"/>
      <c r="X325" s="236"/>
      <c r="Y325" s="236"/>
      <c r="Z325" s="236"/>
      <c r="AA325" s="236"/>
      <c r="AB325" s="236"/>
      <c r="AC325" s="236"/>
      <c r="AD325" s="236"/>
      <c r="AE325" s="236"/>
    </row>
    <row r="326" spans="1:31" hidden="1" x14ac:dyDescent="0.2">
      <c r="A326" s="227"/>
      <c r="B326" s="227"/>
      <c r="C326" s="228" t="s">
        <v>413</v>
      </c>
      <c r="D326" s="229" t="s">
        <v>414</v>
      </c>
      <c r="E326" s="230" t="s">
        <v>39</v>
      </c>
      <c r="F326" s="231">
        <v>0</v>
      </c>
      <c r="G326" s="232" t="e">
        <f t="shared" si="111"/>
        <v>#DIV/0!</v>
      </c>
      <c r="H326" s="230" t="s">
        <v>39</v>
      </c>
      <c r="I326" s="234">
        <f t="shared" si="130"/>
        <v>0</v>
      </c>
      <c r="J326" s="936" t="e">
        <f t="shared" si="113"/>
        <v>#DIV/0!</v>
      </c>
      <c r="K326" s="241">
        <f t="shared" si="131"/>
        <v>0</v>
      </c>
      <c r="L326" s="236">
        <f t="shared" si="132"/>
        <v>0</v>
      </c>
      <c r="M326" s="236"/>
      <c r="N326" s="236"/>
      <c r="O326" s="236"/>
      <c r="P326" s="236"/>
      <c r="Q326" s="236"/>
      <c r="R326" s="236"/>
      <c r="S326" s="236"/>
      <c r="T326" s="236">
        <f t="shared" si="133"/>
        <v>0</v>
      </c>
      <c r="U326" s="236">
        <v>0</v>
      </c>
      <c r="V326" s="236">
        <v>0</v>
      </c>
      <c r="W326" s="236"/>
      <c r="X326" s="236"/>
      <c r="Y326" s="236"/>
      <c r="Z326" s="236"/>
      <c r="AA326" s="236"/>
      <c r="AB326" s="236"/>
      <c r="AC326" s="236"/>
      <c r="AD326" s="236"/>
      <c r="AE326" s="236"/>
    </row>
    <row r="327" spans="1:31" hidden="1" x14ac:dyDescent="0.2">
      <c r="A327" s="227"/>
      <c r="B327" s="227"/>
      <c r="C327" s="228" t="s">
        <v>451</v>
      </c>
      <c r="D327" s="229" t="s">
        <v>452</v>
      </c>
      <c r="E327" s="230" t="s">
        <v>39</v>
      </c>
      <c r="F327" s="231">
        <v>0</v>
      </c>
      <c r="G327" s="232" t="e">
        <f t="shared" si="111"/>
        <v>#DIV/0!</v>
      </c>
      <c r="H327" s="230" t="s">
        <v>39</v>
      </c>
      <c r="I327" s="234">
        <f t="shared" si="130"/>
        <v>0</v>
      </c>
      <c r="J327" s="936" t="e">
        <f t="shared" si="113"/>
        <v>#DIV/0!</v>
      </c>
      <c r="K327" s="241">
        <f t="shared" si="131"/>
        <v>0</v>
      </c>
      <c r="L327" s="236">
        <f t="shared" si="132"/>
        <v>0</v>
      </c>
      <c r="M327" s="236"/>
      <c r="N327" s="236"/>
      <c r="O327" s="236"/>
      <c r="P327" s="236"/>
      <c r="Q327" s="236"/>
      <c r="R327" s="236"/>
      <c r="S327" s="236"/>
      <c r="T327" s="236">
        <f t="shared" si="133"/>
        <v>0</v>
      </c>
      <c r="U327" s="236">
        <v>0</v>
      </c>
      <c r="V327" s="236">
        <v>0</v>
      </c>
      <c r="W327" s="236"/>
      <c r="X327" s="236"/>
      <c r="Y327" s="236"/>
      <c r="Z327" s="236"/>
      <c r="AA327" s="236"/>
      <c r="AB327" s="236"/>
      <c r="AC327" s="236"/>
      <c r="AD327" s="236"/>
      <c r="AE327" s="236"/>
    </row>
    <row r="328" spans="1:31" x14ac:dyDescent="0.2">
      <c r="A328" s="227"/>
      <c r="B328" s="227"/>
      <c r="C328" s="228" t="s">
        <v>537</v>
      </c>
      <c r="D328" s="229" t="s">
        <v>538</v>
      </c>
      <c r="E328" s="230" t="s">
        <v>728</v>
      </c>
      <c r="F328" s="231">
        <v>11871</v>
      </c>
      <c r="G328" s="232">
        <f t="shared" si="111"/>
        <v>1</v>
      </c>
      <c r="H328" s="230" t="s">
        <v>728</v>
      </c>
      <c r="I328" s="234">
        <f t="shared" si="130"/>
        <v>0</v>
      </c>
      <c r="J328" s="936">
        <f t="shared" si="113"/>
        <v>0</v>
      </c>
      <c r="K328" s="241">
        <f t="shared" si="131"/>
        <v>0</v>
      </c>
      <c r="L328" s="236">
        <f t="shared" si="132"/>
        <v>0</v>
      </c>
      <c r="M328" s="236"/>
      <c r="N328" s="236"/>
      <c r="O328" s="236"/>
      <c r="P328" s="236"/>
      <c r="Q328" s="236"/>
      <c r="R328" s="236"/>
      <c r="S328" s="236"/>
      <c r="T328" s="236">
        <f t="shared" si="133"/>
        <v>0</v>
      </c>
      <c r="U328" s="236">
        <v>0</v>
      </c>
      <c r="V328" s="236">
        <v>0</v>
      </c>
      <c r="W328" s="236"/>
      <c r="X328" s="236"/>
      <c r="Y328" s="236"/>
      <c r="Z328" s="236"/>
      <c r="AA328" s="236"/>
      <c r="AB328" s="236"/>
      <c r="AC328" s="236"/>
      <c r="AD328" s="236"/>
      <c r="AE328" s="236"/>
    </row>
    <row r="329" spans="1:31" ht="101.25" x14ac:dyDescent="0.2">
      <c r="A329" s="219"/>
      <c r="B329" s="220" t="s">
        <v>729</v>
      </c>
      <c r="C329" s="221"/>
      <c r="D329" s="222" t="s">
        <v>730</v>
      </c>
      <c r="E329" s="223">
        <f>E330+E331+E332+E333</f>
        <v>76609</v>
      </c>
      <c r="F329" s="223">
        <f t="shared" ref="F329:AE329" si="134">F330+F331+F332+F333</f>
        <v>5503.37</v>
      </c>
      <c r="G329" s="238">
        <f t="shared" si="111"/>
        <v>7.1837120964899678E-2</v>
      </c>
      <c r="H329" s="223">
        <f t="shared" si="134"/>
        <v>76609</v>
      </c>
      <c r="I329" s="225">
        <f t="shared" si="134"/>
        <v>0</v>
      </c>
      <c r="J329" s="937">
        <f t="shared" si="113"/>
        <v>0</v>
      </c>
      <c r="K329" s="925">
        <f t="shared" si="134"/>
        <v>0</v>
      </c>
      <c r="L329" s="223">
        <f t="shared" si="134"/>
        <v>0</v>
      </c>
      <c r="M329" s="223">
        <f t="shared" si="134"/>
        <v>0</v>
      </c>
      <c r="N329" s="223">
        <f t="shared" si="134"/>
        <v>0</v>
      </c>
      <c r="O329" s="223">
        <f t="shared" si="134"/>
        <v>0</v>
      </c>
      <c r="P329" s="223">
        <f t="shared" si="134"/>
        <v>0</v>
      </c>
      <c r="Q329" s="223">
        <f t="shared" si="134"/>
        <v>0</v>
      </c>
      <c r="R329" s="226">
        <f>R330+R331+R332+R333</f>
        <v>0</v>
      </c>
      <c r="S329" s="223">
        <f t="shared" si="134"/>
        <v>0</v>
      </c>
      <c r="T329" s="223">
        <f t="shared" si="134"/>
        <v>0</v>
      </c>
      <c r="U329" s="223">
        <f t="shared" si="134"/>
        <v>0</v>
      </c>
      <c r="V329" s="223">
        <f t="shared" si="134"/>
        <v>0</v>
      </c>
      <c r="W329" s="223">
        <f t="shared" si="134"/>
        <v>0</v>
      </c>
      <c r="X329" s="223">
        <f t="shared" si="134"/>
        <v>0</v>
      </c>
      <c r="Y329" s="223">
        <f t="shared" si="134"/>
        <v>0</v>
      </c>
      <c r="Z329" s="223">
        <f t="shared" si="134"/>
        <v>0</v>
      </c>
      <c r="AA329" s="223">
        <f t="shared" si="134"/>
        <v>0</v>
      </c>
      <c r="AB329" s="223">
        <f t="shared" si="134"/>
        <v>0</v>
      </c>
      <c r="AC329" s="223">
        <f t="shared" si="134"/>
        <v>0</v>
      </c>
      <c r="AD329" s="223">
        <f t="shared" si="134"/>
        <v>0</v>
      </c>
      <c r="AE329" s="223">
        <f t="shared" si="134"/>
        <v>0</v>
      </c>
    </row>
    <row r="330" spans="1:31" x14ac:dyDescent="0.2">
      <c r="A330" s="227"/>
      <c r="B330" s="227"/>
      <c r="C330" s="228" t="s">
        <v>491</v>
      </c>
      <c r="D330" s="229" t="s">
        <v>492</v>
      </c>
      <c r="E330" s="230" t="s">
        <v>731</v>
      </c>
      <c r="F330" s="231">
        <v>0</v>
      </c>
      <c r="G330" s="232">
        <f t="shared" si="111"/>
        <v>0</v>
      </c>
      <c r="H330" s="230" t="s">
        <v>731</v>
      </c>
      <c r="I330" s="234">
        <f>L330</f>
        <v>0</v>
      </c>
      <c r="J330" s="936">
        <f t="shared" si="113"/>
        <v>0</v>
      </c>
      <c r="K330" s="241">
        <f>L330+S330+T330</f>
        <v>0</v>
      </c>
      <c r="L330" s="236">
        <f>SUM(M330:R330)</f>
        <v>0</v>
      </c>
      <c r="M330" s="236"/>
      <c r="N330" s="236"/>
      <c r="O330" s="236"/>
      <c r="P330" s="236"/>
      <c r="Q330" s="236"/>
      <c r="R330" s="236"/>
      <c r="S330" s="236"/>
      <c r="T330" s="236">
        <f t="shared" si="133"/>
        <v>0</v>
      </c>
      <c r="U330" s="236"/>
      <c r="V330" s="236"/>
      <c r="W330" s="236"/>
      <c r="X330" s="236"/>
      <c r="Y330" s="236"/>
      <c r="Z330" s="236"/>
      <c r="AA330" s="236"/>
      <c r="AB330" s="236"/>
      <c r="AC330" s="236"/>
      <c r="AD330" s="236"/>
      <c r="AE330" s="236"/>
    </row>
    <row r="331" spans="1:31" x14ac:dyDescent="0.2">
      <c r="A331" s="227"/>
      <c r="B331" s="227"/>
      <c r="C331" s="228" t="s">
        <v>401</v>
      </c>
      <c r="D331" s="229" t="s">
        <v>402</v>
      </c>
      <c r="E331" s="230" t="s">
        <v>732</v>
      </c>
      <c r="F331" s="231">
        <v>4599.91</v>
      </c>
      <c r="G331" s="232">
        <f t="shared" ref="G331:G396" si="135">F331/E331</f>
        <v>7.1975934531912561E-2</v>
      </c>
      <c r="H331" s="230" t="s">
        <v>732</v>
      </c>
      <c r="I331" s="234">
        <f t="shared" ref="I331:I333" si="136">L331</f>
        <v>0</v>
      </c>
      <c r="J331" s="936">
        <f t="shared" ref="J331:J396" si="137">I331/E331</f>
        <v>0</v>
      </c>
      <c r="K331" s="241">
        <f t="shared" ref="K331:K333" si="138">L331+S331+T331</f>
        <v>0</v>
      </c>
      <c r="L331" s="236">
        <f>SUM(M331:R331)</f>
        <v>0</v>
      </c>
      <c r="M331" s="236"/>
      <c r="N331" s="236"/>
      <c r="O331" s="236"/>
      <c r="P331" s="236"/>
      <c r="Q331" s="236"/>
      <c r="R331" s="236"/>
      <c r="S331" s="236"/>
      <c r="T331" s="236">
        <f t="shared" si="133"/>
        <v>0</v>
      </c>
      <c r="U331" s="236"/>
      <c r="V331" s="236"/>
      <c r="W331" s="236"/>
      <c r="X331" s="236"/>
      <c r="Y331" s="236"/>
      <c r="Z331" s="236"/>
      <c r="AA331" s="236"/>
      <c r="AB331" s="236"/>
      <c r="AC331" s="236"/>
      <c r="AD331" s="236"/>
      <c r="AE331" s="236"/>
    </row>
    <row r="332" spans="1:31" x14ac:dyDescent="0.2">
      <c r="A332" s="227"/>
      <c r="B332" s="227"/>
      <c r="C332" s="228" t="s">
        <v>404</v>
      </c>
      <c r="D332" s="229" t="s">
        <v>405</v>
      </c>
      <c r="E332" s="230" t="s">
        <v>178</v>
      </c>
      <c r="F332" s="231">
        <v>790.75</v>
      </c>
      <c r="G332" s="232">
        <f t="shared" si="135"/>
        <v>7.1886363636363637E-2</v>
      </c>
      <c r="H332" s="230" t="s">
        <v>178</v>
      </c>
      <c r="I332" s="234">
        <f t="shared" si="136"/>
        <v>0</v>
      </c>
      <c r="J332" s="936">
        <f t="shared" si="137"/>
        <v>0</v>
      </c>
      <c r="K332" s="241">
        <f t="shared" si="138"/>
        <v>0</v>
      </c>
      <c r="L332" s="236">
        <f>SUM(M332:R332)</f>
        <v>0</v>
      </c>
      <c r="M332" s="236"/>
      <c r="N332" s="236"/>
      <c r="O332" s="236"/>
      <c r="P332" s="236"/>
      <c r="Q332" s="236"/>
      <c r="R332" s="236"/>
      <c r="S332" s="236"/>
      <c r="T332" s="236">
        <f t="shared" si="133"/>
        <v>0</v>
      </c>
      <c r="U332" s="236"/>
      <c r="V332" s="236"/>
      <c r="W332" s="236"/>
      <c r="X332" s="236"/>
      <c r="Y332" s="236"/>
      <c r="Z332" s="236"/>
      <c r="AA332" s="236"/>
      <c r="AB332" s="236"/>
      <c r="AC332" s="236"/>
      <c r="AD332" s="236"/>
      <c r="AE332" s="236"/>
    </row>
    <row r="333" spans="1:31" x14ac:dyDescent="0.2">
      <c r="A333" s="227"/>
      <c r="B333" s="227"/>
      <c r="C333" s="228" t="s">
        <v>407</v>
      </c>
      <c r="D333" s="229" t="s">
        <v>408</v>
      </c>
      <c r="E333" s="230" t="s">
        <v>733</v>
      </c>
      <c r="F333" s="231">
        <v>112.71</v>
      </c>
      <c r="G333" s="232">
        <f t="shared" si="135"/>
        <v>7.0443749999999999E-2</v>
      </c>
      <c r="H333" s="230" t="s">
        <v>733</v>
      </c>
      <c r="I333" s="234">
        <f t="shared" si="136"/>
        <v>0</v>
      </c>
      <c r="J333" s="936">
        <f t="shared" si="137"/>
        <v>0</v>
      </c>
      <c r="K333" s="241">
        <f t="shared" si="138"/>
        <v>0</v>
      </c>
      <c r="L333" s="236">
        <f>SUM(M333:R333)</f>
        <v>0</v>
      </c>
      <c r="M333" s="236"/>
      <c r="N333" s="236"/>
      <c r="O333" s="236"/>
      <c r="P333" s="236"/>
      <c r="Q333" s="236"/>
      <c r="R333" s="236"/>
      <c r="S333" s="236"/>
      <c r="T333" s="236">
        <f t="shared" si="133"/>
        <v>0</v>
      </c>
      <c r="U333" s="236"/>
      <c r="V333" s="236"/>
      <c r="W333" s="236"/>
      <c r="X333" s="236"/>
      <c r="Y333" s="236"/>
      <c r="Z333" s="236"/>
      <c r="AA333" s="236"/>
      <c r="AB333" s="236"/>
      <c r="AC333" s="236"/>
      <c r="AD333" s="236"/>
      <c r="AE333" s="236"/>
    </row>
    <row r="334" spans="1:31" ht="33.75" x14ac:dyDescent="0.2">
      <c r="A334" s="219"/>
      <c r="B334" s="220" t="s">
        <v>259</v>
      </c>
      <c r="C334" s="221"/>
      <c r="D334" s="222" t="s">
        <v>260</v>
      </c>
      <c r="E334" s="223">
        <f>E335+E336+E337</f>
        <v>209834.49000000002</v>
      </c>
      <c r="F334" s="223">
        <f t="shared" ref="F334:AE334" si="139">F335+F336+F337</f>
        <v>77725.91</v>
      </c>
      <c r="G334" s="238">
        <f t="shared" si="135"/>
        <v>0.37041532114191522</v>
      </c>
      <c r="H334" s="223">
        <f t="shared" si="139"/>
        <v>209834.49000000002</v>
      </c>
      <c r="I334" s="225">
        <f t="shared" si="139"/>
        <v>0</v>
      </c>
      <c r="J334" s="937">
        <f t="shared" si="137"/>
        <v>0</v>
      </c>
      <c r="K334" s="925">
        <f t="shared" si="139"/>
        <v>0</v>
      </c>
      <c r="L334" s="223">
        <f t="shared" si="139"/>
        <v>0</v>
      </c>
      <c r="M334" s="223">
        <f t="shared" si="139"/>
        <v>0</v>
      </c>
      <c r="N334" s="223">
        <f t="shared" si="139"/>
        <v>0</v>
      </c>
      <c r="O334" s="223">
        <f t="shared" si="139"/>
        <v>0</v>
      </c>
      <c r="P334" s="223">
        <f t="shared" si="139"/>
        <v>0</v>
      </c>
      <c r="Q334" s="223">
        <f t="shared" si="139"/>
        <v>0</v>
      </c>
      <c r="R334" s="226">
        <f>R335+R336+R337</f>
        <v>0</v>
      </c>
      <c r="S334" s="223">
        <f t="shared" si="139"/>
        <v>0</v>
      </c>
      <c r="T334" s="223">
        <f t="shared" si="139"/>
        <v>0</v>
      </c>
      <c r="U334" s="223">
        <f t="shared" si="139"/>
        <v>0</v>
      </c>
      <c r="V334" s="223">
        <f t="shared" si="139"/>
        <v>0</v>
      </c>
      <c r="W334" s="223">
        <f t="shared" si="139"/>
        <v>0</v>
      </c>
      <c r="X334" s="223">
        <f t="shared" si="139"/>
        <v>0</v>
      </c>
      <c r="Y334" s="223">
        <f t="shared" si="139"/>
        <v>0</v>
      </c>
      <c r="Z334" s="223">
        <f t="shared" si="139"/>
        <v>0</v>
      </c>
      <c r="AA334" s="223">
        <f t="shared" si="139"/>
        <v>0</v>
      </c>
      <c r="AB334" s="223">
        <f t="shared" si="139"/>
        <v>0</v>
      </c>
      <c r="AC334" s="223">
        <f t="shared" si="139"/>
        <v>0</v>
      </c>
      <c r="AD334" s="223">
        <f t="shared" si="139"/>
        <v>0</v>
      </c>
      <c r="AE334" s="223">
        <f t="shared" si="139"/>
        <v>0</v>
      </c>
    </row>
    <row r="335" spans="1:31" ht="33.75" x14ac:dyDescent="0.2">
      <c r="A335" s="227"/>
      <c r="B335" s="227"/>
      <c r="C335" s="228" t="s">
        <v>430</v>
      </c>
      <c r="D335" s="229" t="s">
        <v>431</v>
      </c>
      <c r="E335" s="230" t="s">
        <v>734</v>
      </c>
      <c r="F335" s="231">
        <v>7672.5</v>
      </c>
      <c r="G335" s="232">
        <f t="shared" si="135"/>
        <v>1</v>
      </c>
      <c r="H335" s="230" t="s">
        <v>734</v>
      </c>
      <c r="I335" s="234">
        <f>K335</f>
        <v>0</v>
      </c>
      <c r="J335" s="936">
        <f t="shared" si="137"/>
        <v>0</v>
      </c>
      <c r="K335" s="241">
        <f>L335+S335+T335</f>
        <v>0</v>
      </c>
      <c r="L335" s="236">
        <f>SUM(M335:R335)</f>
        <v>0</v>
      </c>
      <c r="M335" s="236"/>
      <c r="N335" s="236"/>
      <c r="O335" s="236"/>
      <c r="P335" s="236"/>
      <c r="Q335" s="236"/>
      <c r="R335" s="236"/>
      <c r="S335" s="236"/>
      <c r="T335" s="236">
        <f>SUM(U335:AD335)</f>
        <v>0</v>
      </c>
      <c r="U335" s="236"/>
      <c r="V335" s="236"/>
      <c r="W335" s="236"/>
      <c r="X335" s="236"/>
      <c r="Y335" s="236"/>
      <c r="Z335" s="236"/>
      <c r="AA335" s="236"/>
      <c r="AB335" s="236"/>
      <c r="AC335" s="236"/>
      <c r="AD335" s="236"/>
      <c r="AE335" s="236"/>
    </row>
    <row r="336" spans="1:31" x14ac:dyDescent="0.2">
      <c r="A336" s="227"/>
      <c r="B336" s="227"/>
      <c r="C336" s="228" t="s">
        <v>410</v>
      </c>
      <c r="D336" s="229" t="s">
        <v>411</v>
      </c>
      <c r="E336" s="230" t="s">
        <v>735</v>
      </c>
      <c r="F336" s="231">
        <v>0</v>
      </c>
      <c r="G336" s="232">
        <f t="shared" si="135"/>
        <v>0</v>
      </c>
      <c r="H336" s="230" t="s">
        <v>735</v>
      </c>
      <c r="I336" s="234">
        <f t="shared" ref="I336:I337" si="140">K336</f>
        <v>0</v>
      </c>
      <c r="J336" s="936">
        <f t="shared" si="137"/>
        <v>0</v>
      </c>
      <c r="K336" s="241">
        <f t="shared" ref="K336:K337" si="141">L336+S336+T336</f>
        <v>0</v>
      </c>
      <c r="L336" s="236">
        <f t="shared" ref="L336:L362" si="142">SUM(M336:R336)</f>
        <v>0</v>
      </c>
      <c r="M336" s="236"/>
      <c r="N336" s="236"/>
      <c r="O336" s="236"/>
      <c r="P336" s="236"/>
      <c r="Q336" s="236"/>
      <c r="R336" s="236"/>
      <c r="S336" s="236"/>
      <c r="T336" s="236">
        <f>SUM(U336:AD336)</f>
        <v>0</v>
      </c>
      <c r="U336" s="236"/>
      <c r="V336" s="236"/>
      <c r="W336" s="236"/>
      <c r="X336" s="236"/>
      <c r="Y336" s="236"/>
      <c r="Z336" s="236"/>
      <c r="AA336" s="236"/>
      <c r="AB336" s="236"/>
      <c r="AC336" s="236"/>
      <c r="AD336" s="236"/>
      <c r="AE336" s="236"/>
    </row>
    <row r="337" spans="1:31" x14ac:dyDescent="0.2">
      <c r="A337" s="227"/>
      <c r="B337" s="227"/>
      <c r="C337" s="228" t="s">
        <v>630</v>
      </c>
      <c r="D337" s="229" t="s">
        <v>631</v>
      </c>
      <c r="E337" s="230" t="s">
        <v>736</v>
      </c>
      <c r="F337" s="231">
        <v>70053.41</v>
      </c>
      <c r="G337" s="232">
        <f t="shared" si="135"/>
        <v>0.35011921216266434</v>
      </c>
      <c r="H337" s="230" t="s">
        <v>736</v>
      </c>
      <c r="I337" s="234">
        <f t="shared" si="140"/>
        <v>0</v>
      </c>
      <c r="J337" s="936">
        <f t="shared" si="137"/>
        <v>0</v>
      </c>
      <c r="K337" s="241">
        <f t="shared" si="141"/>
        <v>0</v>
      </c>
      <c r="L337" s="236">
        <f t="shared" si="142"/>
        <v>0</v>
      </c>
      <c r="M337" s="236"/>
      <c r="N337" s="236"/>
      <c r="O337" s="236"/>
      <c r="P337" s="236"/>
      <c r="Q337" s="236"/>
      <c r="R337" s="236"/>
      <c r="S337" s="236"/>
      <c r="T337" s="236">
        <f>SUM(U337:AD337)</f>
        <v>0</v>
      </c>
      <c r="U337" s="236"/>
      <c r="V337" s="236"/>
      <c r="W337" s="236"/>
      <c r="X337" s="236"/>
      <c r="Y337" s="236"/>
      <c r="Z337" s="236"/>
      <c r="AA337" s="236"/>
      <c r="AB337" s="236"/>
      <c r="AC337" s="236"/>
      <c r="AD337" s="236"/>
      <c r="AE337" s="236"/>
    </row>
    <row r="338" spans="1:31" ht="15" x14ac:dyDescent="0.2">
      <c r="A338" s="219"/>
      <c r="B338" s="220" t="s">
        <v>262</v>
      </c>
      <c r="C338" s="221"/>
      <c r="D338" s="222" t="s">
        <v>41</v>
      </c>
      <c r="E338" s="223">
        <f>E339+E340+E341+E342+E343+E344+E345+E346+E347+E348+E349+E350+E351+E352+E353+E354+E355+E356+E357+E358+E359+E360+E361+E362</f>
        <v>1389251.1700000002</v>
      </c>
      <c r="F338" s="239">
        <f t="shared" ref="F338:AE338" si="143">F339+F340+F341+F342+F343+F344+F345+F346+F347+F348+F349+F350+F351+F352+F353+F354+F355+F356+F357+F358+F359+F360+F361+F362</f>
        <v>422618.93000000005</v>
      </c>
      <c r="G338" s="238">
        <f t="shared" si="135"/>
        <v>0.30420627970390696</v>
      </c>
      <c r="H338" s="239">
        <f t="shared" si="143"/>
        <v>1389251.1700000002</v>
      </c>
      <c r="I338" s="240">
        <f t="shared" si="143"/>
        <v>318436.59999999998</v>
      </c>
      <c r="J338" s="937">
        <f t="shared" si="137"/>
        <v>0.22921456312323993</v>
      </c>
      <c r="K338" s="925">
        <f t="shared" si="143"/>
        <v>318436.59999999998</v>
      </c>
      <c r="L338" s="223">
        <f t="shared" si="143"/>
        <v>75189.600000000006</v>
      </c>
      <c r="M338" s="223">
        <f t="shared" si="143"/>
        <v>0</v>
      </c>
      <c r="N338" s="223">
        <f t="shared" si="143"/>
        <v>26500</v>
      </c>
      <c r="O338" s="223">
        <f t="shared" si="143"/>
        <v>0</v>
      </c>
      <c r="P338" s="223">
        <f t="shared" si="143"/>
        <v>46689.599999999999</v>
      </c>
      <c r="Q338" s="223">
        <f t="shared" si="143"/>
        <v>0</v>
      </c>
      <c r="R338" s="226">
        <f>R339+R340+R341+R342+R343+R344+R345+R346+R347+R348+R349+R350+R351+R352+R353+R354+R355+R356+R357+R358+R359+R360+R361+R362</f>
        <v>2000</v>
      </c>
      <c r="S338" s="223">
        <f t="shared" si="143"/>
        <v>0</v>
      </c>
      <c r="T338" s="223">
        <f t="shared" si="143"/>
        <v>243247</v>
      </c>
      <c r="U338" s="223">
        <f t="shared" si="143"/>
        <v>34926</v>
      </c>
      <c r="V338" s="223">
        <f t="shared" si="143"/>
        <v>131145</v>
      </c>
      <c r="W338" s="223">
        <f t="shared" si="143"/>
        <v>9593</v>
      </c>
      <c r="X338" s="223">
        <f t="shared" si="143"/>
        <v>17778</v>
      </c>
      <c r="Y338" s="223">
        <f t="shared" si="143"/>
        <v>15898</v>
      </c>
      <c r="Z338" s="223">
        <f t="shared" si="143"/>
        <v>4832</v>
      </c>
      <c r="AA338" s="223">
        <f t="shared" si="143"/>
        <v>10610</v>
      </c>
      <c r="AB338" s="223">
        <f t="shared" si="143"/>
        <v>5788</v>
      </c>
      <c r="AC338" s="223">
        <f t="shared" si="143"/>
        <v>4253</v>
      </c>
      <c r="AD338" s="223">
        <f t="shared" si="143"/>
        <v>8424</v>
      </c>
      <c r="AE338" s="223">
        <f t="shared" si="143"/>
        <v>0</v>
      </c>
    </row>
    <row r="339" spans="1:31" ht="67.5" x14ac:dyDescent="0.2">
      <c r="A339" s="227"/>
      <c r="B339" s="227"/>
      <c r="C339" s="228" t="s">
        <v>263</v>
      </c>
      <c r="D339" s="229" t="s">
        <v>737</v>
      </c>
      <c r="E339" s="230" t="s">
        <v>738</v>
      </c>
      <c r="F339" s="231">
        <v>0</v>
      </c>
      <c r="G339" s="232">
        <f t="shared" si="135"/>
        <v>0</v>
      </c>
      <c r="H339" s="230" t="s">
        <v>738</v>
      </c>
      <c r="I339" s="234">
        <f>K339</f>
        <v>6883.97</v>
      </c>
      <c r="J339" s="936">
        <f t="shared" si="137"/>
        <v>4.4995197179696071E-2</v>
      </c>
      <c r="K339" s="241">
        <f>L339+S339+T339</f>
        <v>6883.97</v>
      </c>
      <c r="L339" s="236">
        <f t="shared" si="142"/>
        <v>6883.97</v>
      </c>
      <c r="M339" s="236"/>
      <c r="N339" s="236"/>
      <c r="O339" s="236"/>
      <c r="P339" s="236">
        <v>6883.97</v>
      </c>
      <c r="Q339" s="236"/>
      <c r="R339" s="236"/>
      <c r="S339" s="236"/>
      <c r="T339" s="236">
        <f>SUM(U339:AD339)</f>
        <v>0</v>
      </c>
      <c r="U339" s="236"/>
      <c r="V339" s="236"/>
      <c r="W339" s="236"/>
      <c r="X339" s="236"/>
      <c r="Y339" s="236"/>
      <c r="Z339" s="236"/>
      <c r="AA339" s="236"/>
      <c r="AB339" s="236"/>
      <c r="AC339" s="236"/>
      <c r="AD339" s="236"/>
      <c r="AE339" s="236"/>
    </row>
    <row r="340" spans="1:31" ht="67.5" x14ac:dyDescent="0.2">
      <c r="A340" s="227"/>
      <c r="B340" s="227"/>
      <c r="C340" s="228" t="s">
        <v>266</v>
      </c>
      <c r="D340" s="229" t="s">
        <v>737</v>
      </c>
      <c r="E340" s="230" t="s">
        <v>739</v>
      </c>
      <c r="F340" s="231">
        <v>18000</v>
      </c>
      <c r="G340" s="232">
        <f t="shared" si="135"/>
        <v>0.60555984680681563</v>
      </c>
      <c r="H340" s="230" t="s">
        <v>739</v>
      </c>
      <c r="I340" s="234">
        <f t="shared" ref="I340:I362" si="144">K340</f>
        <v>808.25</v>
      </c>
      <c r="J340" s="936">
        <f t="shared" si="137"/>
        <v>2.7191319232311596E-2</v>
      </c>
      <c r="K340" s="241">
        <f t="shared" ref="K340:K362" si="145">L340+S340+T340</f>
        <v>808.25</v>
      </c>
      <c r="L340" s="236">
        <f t="shared" si="142"/>
        <v>808.25</v>
      </c>
      <c r="M340" s="236"/>
      <c r="N340" s="236"/>
      <c r="O340" s="236"/>
      <c r="P340" s="236">
        <v>808.25</v>
      </c>
      <c r="Q340" s="236"/>
      <c r="R340" s="236"/>
      <c r="S340" s="236"/>
      <c r="T340" s="236">
        <f t="shared" ref="T340:T362" si="146">SUM(U340:AD340)</f>
        <v>0</v>
      </c>
      <c r="U340" s="236"/>
      <c r="V340" s="236"/>
      <c r="W340" s="236"/>
      <c r="X340" s="236"/>
      <c r="Y340" s="236"/>
      <c r="Z340" s="236"/>
      <c r="AA340" s="236"/>
      <c r="AB340" s="236"/>
      <c r="AC340" s="236"/>
      <c r="AD340" s="236"/>
      <c r="AE340" s="236"/>
    </row>
    <row r="341" spans="1:31" ht="56.25" x14ac:dyDescent="0.2">
      <c r="A341" s="227"/>
      <c r="B341" s="227"/>
      <c r="C341" s="228" t="s">
        <v>109</v>
      </c>
      <c r="D341" s="229" t="s">
        <v>595</v>
      </c>
      <c r="E341" s="230" t="s">
        <v>740</v>
      </c>
      <c r="F341" s="231">
        <v>25000</v>
      </c>
      <c r="G341" s="232">
        <f t="shared" si="135"/>
        <v>0.94339622641509435</v>
      </c>
      <c r="H341" s="230" t="s">
        <v>740</v>
      </c>
      <c r="I341" s="234">
        <f t="shared" si="144"/>
        <v>26500</v>
      </c>
      <c r="J341" s="936">
        <f t="shared" si="137"/>
        <v>1</v>
      </c>
      <c r="K341" s="241">
        <f t="shared" si="145"/>
        <v>26500</v>
      </c>
      <c r="L341" s="236">
        <f t="shared" si="142"/>
        <v>26500</v>
      </c>
      <c r="M341" s="236"/>
      <c r="N341" s="236">
        <v>26500</v>
      </c>
      <c r="O341" s="236"/>
      <c r="P341" s="236"/>
      <c r="Q341" s="236"/>
      <c r="R341" s="236"/>
      <c r="S341" s="236"/>
      <c r="T341" s="236">
        <f t="shared" si="146"/>
        <v>0</v>
      </c>
      <c r="U341" s="236"/>
      <c r="V341" s="236"/>
      <c r="W341" s="236"/>
      <c r="X341" s="236"/>
      <c r="Y341" s="236"/>
      <c r="Z341" s="236"/>
      <c r="AA341" s="236"/>
      <c r="AB341" s="236"/>
      <c r="AC341" s="236"/>
      <c r="AD341" s="236"/>
      <c r="AE341" s="236"/>
    </row>
    <row r="342" spans="1:31" ht="33.75" x14ac:dyDescent="0.2">
      <c r="A342" s="227"/>
      <c r="B342" s="227"/>
      <c r="C342" s="228" t="s">
        <v>34</v>
      </c>
      <c r="D342" s="229" t="s">
        <v>741</v>
      </c>
      <c r="E342" s="230" t="s">
        <v>95</v>
      </c>
      <c r="F342" s="231">
        <v>2000</v>
      </c>
      <c r="G342" s="232">
        <f t="shared" si="135"/>
        <v>1</v>
      </c>
      <c r="H342" s="230" t="s">
        <v>95</v>
      </c>
      <c r="I342" s="234">
        <f t="shared" si="144"/>
        <v>0</v>
      </c>
      <c r="J342" s="936">
        <f t="shared" si="137"/>
        <v>0</v>
      </c>
      <c r="K342" s="241">
        <f t="shared" si="145"/>
        <v>0</v>
      </c>
      <c r="L342" s="236">
        <f t="shared" si="142"/>
        <v>0</v>
      </c>
      <c r="M342" s="236"/>
      <c r="N342" s="236"/>
      <c r="O342" s="236"/>
      <c r="P342" s="236"/>
      <c r="Q342" s="236"/>
      <c r="R342" s="236"/>
      <c r="S342" s="236"/>
      <c r="T342" s="236">
        <f t="shared" si="146"/>
        <v>0</v>
      </c>
      <c r="U342" s="236"/>
      <c r="V342" s="236"/>
      <c r="W342" s="236"/>
      <c r="X342" s="236"/>
      <c r="Y342" s="236"/>
      <c r="Z342" s="236"/>
      <c r="AA342" s="236"/>
      <c r="AB342" s="236"/>
      <c r="AC342" s="236"/>
      <c r="AD342" s="236"/>
      <c r="AE342" s="236"/>
    </row>
    <row r="343" spans="1:31" x14ac:dyDescent="0.2">
      <c r="A343" s="227"/>
      <c r="B343" s="227"/>
      <c r="C343" s="228" t="s">
        <v>742</v>
      </c>
      <c r="D343" s="229" t="s">
        <v>743</v>
      </c>
      <c r="E343" s="230" t="s">
        <v>744</v>
      </c>
      <c r="F343" s="231">
        <v>8060.4</v>
      </c>
      <c r="G343" s="232">
        <f t="shared" si="135"/>
        <v>0.26592677149248117</v>
      </c>
      <c r="H343" s="230" t="s">
        <v>744</v>
      </c>
      <c r="I343" s="234">
        <f t="shared" si="144"/>
        <v>0</v>
      </c>
      <c r="J343" s="936">
        <f t="shared" si="137"/>
        <v>0</v>
      </c>
      <c r="K343" s="241">
        <f t="shared" si="145"/>
        <v>0</v>
      </c>
      <c r="L343" s="236">
        <f t="shared" si="142"/>
        <v>0</v>
      </c>
      <c r="M343" s="236"/>
      <c r="N343" s="236"/>
      <c r="O343" s="236"/>
      <c r="P343" s="236">
        <v>0</v>
      </c>
      <c r="Q343" s="236"/>
      <c r="R343" s="236"/>
      <c r="S343" s="236"/>
      <c r="T343" s="236">
        <f t="shared" si="146"/>
        <v>0</v>
      </c>
      <c r="U343" s="236"/>
      <c r="V343" s="236"/>
      <c r="W343" s="236"/>
      <c r="X343" s="236"/>
      <c r="Y343" s="236"/>
      <c r="Z343" s="236"/>
      <c r="AA343" s="236"/>
      <c r="AB343" s="236"/>
      <c r="AC343" s="236"/>
      <c r="AD343" s="236"/>
      <c r="AE343" s="236"/>
    </row>
    <row r="344" spans="1:31" x14ac:dyDescent="0.2">
      <c r="A344" s="227"/>
      <c r="B344" s="227"/>
      <c r="C344" s="228" t="s">
        <v>745</v>
      </c>
      <c r="D344" s="229" t="s">
        <v>743</v>
      </c>
      <c r="E344" s="230" t="s">
        <v>746</v>
      </c>
      <c r="F344" s="231">
        <v>939.6</v>
      </c>
      <c r="G344" s="232">
        <f t="shared" si="135"/>
        <v>0.26480435591328755</v>
      </c>
      <c r="H344" s="230" t="s">
        <v>746</v>
      </c>
      <c r="I344" s="234">
        <f t="shared" si="144"/>
        <v>0</v>
      </c>
      <c r="J344" s="936">
        <f t="shared" si="137"/>
        <v>0</v>
      </c>
      <c r="K344" s="241">
        <f t="shared" si="145"/>
        <v>0</v>
      </c>
      <c r="L344" s="236">
        <f t="shared" si="142"/>
        <v>0</v>
      </c>
      <c r="M344" s="236"/>
      <c r="N344" s="236"/>
      <c r="O344" s="236"/>
      <c r="P344" s="236">
        <v>0</v>
      </c>
      <c r="Q344" s="236"/>
      <c r="R344" s="236"/>
      <c r="S344" s="236"/>
      <c r="T344" s="236">
        <f t="shared" si="146"/>
        <v>0</v>
      </c>
      <c r="U344" s="236"/>
      <c r="V344" s="236"/>
      <c r="W344" s="236"/>
      <c r="X344" s="236"/>
      <c r="Y344" s="236"/>
      <c r="Z344" s="236"/>
      <c r="AA344" s="236"/>
      <c r="AB344" s="236"/>
      <c r="AC344" s="236"/>
      <c r="AD344" s="236"/>
      <c r="AE344" s="236"/>
    </row>
    <row r="345" spans="1:31" x14ac:dyDescent="0.2">
      <c r="A345" s="227"/>
      <c r="B345" s="227"/>
      <c r="C345" s="228" t="s">
        <v>747</v>
      </c>
      <c r="D345" s="229" t="s">
        <v>402</v>
      </c>
      <c r="E345" s="230" t="s">
        <v>748</v>
      </c>
      <c r="F345" s="231">
        <v>146299.89000000001</v>
      </c>
      <c r="G345" s="232">
        <f t="shared" si="135"/>
        <v>0.51346700729829142</v>
      </c>
      <c r="H345" s="230" t="s">
        <v>748</v>
      </c>
      <c r="I345" s="234">
        <f t="shared" si="144"/>
        <v>28071.38</v>
      </c>
      <c r="J345" s="936">
        <f t="shared" si="137"/>
        <v>9.8521793005675623E-2</v>
      </c>
      <c r="K345" s="241">
        <f t="shared" si="145"/>
        <v>28071.38</v>
      </c>
      <c r="L345" s="236">
        <f t="shared" si="142"/>
        <v>28071.38</v>
      </c>
      <c r="M345" s="236"/>
      <c r="N345" s="236"/>
      <c r="O345" s="236"/>
      <c r="P345" s="236">
        <f>28066.58+4.8</f>
        <v>28071.38</v>
      </c>
      <c r="Q345" s="236"/>
      <c r="R345" s="236"/>
      <c r="S345" s="236"/>
      <c r="T345" s="236">
        <f t="shared" si="146"/>
        <v>0</v>
      </c>
      <c r="U345" s="236"/>
      <c r="V345" s="236"/>
      <c r="W345" s="236"/>
      <c r="X345" s="236"/>
      <c r="Y345" s="236"/>
      <c r="Z345" s="236"/>
      <c r="AA345" s="236"/>
      <c r="AB345" s="236"/>
      <c r="AC345" s="236"/>
      <c r="AD345" s="236"/>
      <c r="AE345" s="236"/>
    </row>
    <row r="346" spans="1:31" x14ac:dyDescent="0.2">
      <c r="A346" s="227"/>
      <c r="B346" s="227"/>
      <c r="C346" s="228" t="s">
        <v>749</v>
      </c>
      <c r="D346" s="229" t="s">
        <v>402</v>
      </c>
      <c r="E346" s="230" t="s">
        <v>750</v>
      </c>
      <c r="F346" s="231">
        <v>16821</v>
      </c>
      <c r="G346" s="232">
        <f t="shared" si="135"/>
        <v>0.50644687817545442</v>
      </c>
      <c r="H346" s="230" t="s">
        <v>750</v>
      </c>
      <c r="I346" s="234">
        <f t="shared" si="144"/>
        <v>3266.92</v>
      </c>
      <c r="J346" s="936">
        <f t="shared" si="137"/>
        <v>9.836046817959429E-2</v>
      </c>
      <c r="K346" s="241">
        <f t="shared" si="145"/>
        <v>3266.92</v>
      </c>
      <c r="L346" s="236">
        <f t="shared" si="142"/>
        <v>3266.92</v>
      </c>
      <c r="M346" s="236"/>
      <c r="N346" s="236"/>
      <c r="O346" s="236"/>
      <c r="P346" s="236">
        <f>3271.71-4.8+0.01</f>
        <v>3266.92</v>
      </c>
      <c r="Q346" s="236"/>
      <c r="R346" s="236"/>
      <c r="S346" s="236"/>
      <c r="T346" s="236">
        <f t="shared" si="146"/>
        <v>0</v>
      </c>
      <c r="U346" s="236"/>
      <c r="V346" s="236"/>
      <c r="W346" s="236"/>
      <c r="X346" s="236"/>
      <c r="Y346" s="236"/>
      <c r="Z346" s="236"/>
      <c r="AA346" s="236"/>
      <c r="AB346" s="236"/>
      <c r="AC346" s="236"/>
      <c r="AD346" s="236"/>
      <c r="AE346" s="236"/>
    </row>
    <row r="347" spans="1:31" x14ac:dyDescent="0.2">
      <c r="A347" s="227"/>
      <c r="B347" s="227"/>
      <c r="C347" s="228" t="s">
        <v>404</v>
      </c>
      <c r="D347" s="229" t="s">
        <v>405</v>
      </c>
      <c r="E347" s="230" t="s">
        <v>751</v>
      </c>
      <c r="F347" s="231">
        <v>0</v>
      </c>
      <c r="G347" s="232">
        <f t="shared" si="135"/>
        <v>0</v>
      </c>
      <c r="H347" s="230" t="s">
        <v>751</v>
      </c>
      <c r="I347" s="234">
        <f t="shared" si="144"/>
        <v>983</v>
      </c>
      <c r="J347" s="936">
        <f t="shared" si="137"/>
        <v>1</v>
      </c>
      <c r="K347" s="241">
        <f t="shared" si="145"/>
        <v>983</v>
      </c>
      <c r="L347" s="236">
        <f t="shared" si="142"/>
        <v>0</v>
      </c>
      <c r="M347" s="236"/>
      <c r="N347" s="236"/>
      <c r="O347" s="236"/>
      <c r="P347" s="236"/>
      <c r="Q347" s="236"/>
      <c r="R347" s="236"/>
      <c r="S347" s="236"/>
      <c r="T347" s="236">
        <f t="shared" si="146"/>
        <v>983</v>
      </c>
      <c r="U347" s="236"/>
      <c r="V347" s="236">
        <v>983</v>
      </c>
      <c r="W347" s="236"/>
      <c r="X347" s="236"/>
      <c r="Y347" s="236"/>
      <c r="Z347" s="236"/>
      <c r="AA347" s="236"/>
      <c r="AB347" s="236"/>
      <c r="AC347" s="236"/>
      <c r="AD347" s="236"/>
      <c r="AE347" s="236"/>
    </row>
    <row r="348" spans="1:31" x14ac:dyDescent="0.2">
      <c r="A348" s="227"/>
      <c r="B348" s="227"/>
      <c r="C348" s="228" t="s">
        <v>752</v>
      </c>
      <c r="D348" s="229" t="s">
        <v>405</v>
      </c>
      <c r="E348" s="230" t="s">
        <v>753</v>
      </c>
      <c r="F348" s="231">
        <v>25432.18</v>
      </c>
      <c r="G348" s="232">
        <f t="shared" si="135"/>
        <v>0.40176457950244232</v>
      </c>
      <c r="H348" s="230" t="s">
        <v>753</v>
      </c>
      <c r="I348" s="234">
        <f t="shared" si="144"/>
        <v>6003.79</v>
      </c>
      <c r="J348" s="936">
        <f t="shared" si="137"/>
        <v>9.4844805469722543E-2</v>
      </c>
      <c r="K348" s="241">
        <f t="shared" si="145"/>
        <v>6003.79</v>
      </c>
      <c r="L348" s="236">
        <f t="shared" si="142"/>
        <v>6003.79</v>
      </c>
      <c r="M348" s="236"/>
      <c r="N348" s="236"/>
      <c r="O348" s="236"/>
      <c r="P348" s="236">
        <v>6003.79</v>
      </c>
      <c r="Q348" s="236"/>
      <c r="R348" s="236"/>
      <c r="S348" s="236"/>
      <c r="T348" s="236">
        <f t="shared" si="146"/>
        <v>0</v>
      </c>
      <c r="U348" s="236"/>
      <c r="V348" s="236"/>
      <c r="W348" s="236"/>
      <c r="X348" s="236"/>
      <c r="Y348" s="236"/>
      <c r="Z348" s="236"/>
      <c r="AA348" s="236"/>
      <c r="AB348" s="236"/>
      <c r="AC348" s="236"/>
      <c r="AD348" s="236"/>
      <c r="AE348" s="236"/>
    </row>
    <row r="349" spans="1:31" x14ac:dyDescent="0.2">
      <c r="A349" s="227"/>
      <c r="B349" s="227"/>
      <c r="C349" s="228" t="s">
        <v>754</v>
      </c>
      <c r="D349" s="229" t="s">
        <v>405</v>
      </c>
      <c r="E349" s="230" t="s">
        <v>755</v>
      </c>
      <c r="F349" s="231">
        <v>2943.3</v>
      </c>
      <c r="G349" s="232">
        <f t="shared" si="135"/>
        <v>0.39887518633961244</v>
      </c>
      <c r="H349" s="230" t="s">
        <v>755</v>
      </c>
      <c r="I349" s="234">
        <f t="shared" si="144"/>
        <v>699.86</v>
      </c>
      <c r="J349" s="936">
        <f t="shared" si="137"/>
        <v>9.4844829922753768E-2</v>
      </c>
      <c r="K349" s="241">
        <f t="shared" si="145"/>
        <v>699.86</v>
      </c>
      <c r="L349" s="236">
        <f t="shared" si="142"/>
        <v>699.86</v>
      </c>
      <c r="M349" s="236"/>
      <c r="N349" s="236"/>
      <c r="O349" s="236"/>
      <c r="P349" s="236">
        <v>699.86</v>
      </c>
      <c r="Q349" s="236"/>
      <c r="R349" s="236"/>
      <c r="S349" s="236"/>
      <c r="T349" s="236">
        <f t="shared" si="146"/>
        <v>0</v>
      </c>
      <c r="U349" s="236"/>
      <c r="V349" s="236"/>
      <c r="W349" s="236"/>
      <c r="X349" s="236"/>
      <c r="Y349" s="236"/>
      <c r="Z349" s="236"/>
      <c r="AA349" s="236"/>
      <c r="AB349" s="236"/>
      <c r="AC349" s="236"/>
      <c r="AD349" s="236"/>
      <c r="AE349" s="236"/>
    </row>
    <row r="350" spans="1:31" x14ac:dyDescent="0.2">
      <c r="A350" s="227"/>
      <c r="B350" s="227"/>
      <c r="C350" s="228" t="s">
        <v>407</v>
      </c>
      <c r="D350" s="229" t="s">
        <v>408</v>
      </c>
      <c r="E350" s="230" t="s">
        <v>756</v>
      </c>
      <c r="F350" s="231">
        <v>0</v>
      </c>
      <c r="G350" s="232">
        <f t="shared" si="135"/>
        <v>0</v>
      </c>
      <c r="H350" s="230" t="s">
        <v>756</v>
      </c>
      <c r="I350" s="234">
        <f t="shared" si="144"/>
        <v>140</v>
      </c>
      <c r="J350" s="936">
        <f t="shared" si="137"/>
        <v>1</v>
      </c>
      <c r="K350" s="241">
        <f t="shared" si="145"/>
        <v>140</v>
      </c>
      <c r="L350" s="236">
        <f t="shared" si="142"/>
        <v>0</v>
      </c>
      <c r="M350" s="236"/>
      <c r="N350" s="236"/>
      <c r="O350" s="236"/>
      <c r="P350" s="236"/>
      <c r="Q350" s="236"/>
      <c r="R350" s="236"/>
      <c r="S350" s="236"/>
      <c r="T350" s="236">
        <f t="shared" si="146"/>
        <v>140</v>
      </c>
      <c r="U350" s="236"/>
      <c r="V350" s="236">
        <v>140</v>
      </c>
      <c r="W350" s="236"/>
      <c r="X350" s="236"/>
      <c r="Y350" s="236"/>
      <c r="Z350" s="236"/>
      <c r="AA350" s="236"/>
      <c r="AB350" s="236"/>
      <c r="AC350" s="236"/>
      <c r="AD350" s="236"/>
      <c r="AE350" s="236"/>
    </row>
    <row r="351" spans="1:31" x14ac:dyDescent="0.2">
      <c r="A351" s="227"/>
      <c r="B351" s="227"/>
      <c r="C351" s="228" t="s">
        <v>757</v>
      </c>
      <c r="D351" s="229" t="s">
        <v>408</v>
      </c>
      <c r="E351" s="230" t="s">
        <v>758</v>
      </c>
      <c r="F351" s="231">
        <v>2874.64</v>
      </c>
      <c r="G351" s="232">
        <f t="shared" si="135"/>
        <v>0.31048892738833689</v>
      </c>
      <c r="H351" s="230" t="s">
        <v>758</v>
      </c>
      <c r="I351" s="234">
        <f t="shared" si="144"/>
        <v>855.69</v>
      </c>
      <c r="J351" s="936">
        <f t="shared" si="137"/>
        <v>9.2422797385733862E-2</v>
      </c>
      <c r="K351" s="241">
        <f t="shared" si="145"/>
        <v>855.69</v>
      </c>
      <c r="L351" s="236">
        <f t="shared" si="142"/>
        <v>855.69</v>
      </c>
      <c r="M351" s="236"/>
      <c r="N351" s="236"/>
      <c r="O351" s="236"/>
      <c r="P351" s="236">
        <v>855.69</v>
      </c>
      <c r="Q351" s="236"/>
      <c r="R351" s="236"/>
      <c r="S351" s="236"/>
      <c r="T351" s="236">
        <f t="shared" si="146"/>
        <v>0</v>
      </c>
      <c r="U351" s="236"/>
      <c r="V351" s="236"/>
      <c r="W351" s="236"/>
      <c r="X351" s="236"/>
      <c r="Y351" s="236"/>
      <c r="Z351" s="236"/>
      <c r="AA351" s="236"/>
      <c r="AB351" s="236"/>
      <c r="AC351" s="236"/>
      <c r="AD351" s="236"/>
      <c r="AE351" s="236"/>
    </row>
    <row r="352" spans="1:31" x14ac:dyDescent="0.2">
      <c r="A352" s="227"/>
      <c r="B352" s="227"/>
      <c r="C352" s="228" t="s">
        <v>759</v>
      </c>
      <c r="D352" s="229" t="s">
        <v>408</v>
      </c>
      <c r="E352" s="230" t="s">
        <v>760</v>
      </c>
      <c r="F352" s="231">
        <v>331.66</v>
      </c>
      <c r="G352" s="232">
        <f t="shared" si="135"/>
        <v>0.30730884696638378</v>
      </c>
      <c r="H352" s="230" t="s">
        <v>760</v>
      </c>
      <c r="I352" s="234">
        <f t="shared" si="144"/>
        <v>99.74</v>
      </c>
      <c r="J352" s="936">
        <f t="shared" si="137"/>
        <v>9.2416885956784392E-2</v>
      </c>
      <c r="K352" s="241">
        <f t="shared" si="145"/>
        <v>99.74</v>
      </c>
      <c r="L352" s="236">
        <f t="shared" si="142"/>
        <v>99.74</v>
      </c>
      <c r="M352" s="236"/>
      <c r="N352" s="236"/>
      <c r="O352" s="236"/>
      <c r="P352" s="236">
        <v>99.74</v>
      </c>
      <c r="Q352" s="236"/>
      <c r="R352" s="236"/>
      <c r="S352" s="236"/>
      <c r="T352" s="236">
        <f t="shared" si="146"/>
        <v>0</v>
      </c>
      <c r="U352" s="236"/>
      <c r="V352" s="236"/>
      <c r="W352" s="236"/>
      <c r="X352" s="236"/>
      <c r="Y352" s="236"/>
      <c r="Z352" s="236"/>
      <c r="AA352" s="236"/>
      <c r="AB352" s="236"/>
      <c r="AC352" s="236"/>
      <c r="AD352" s="236"/>
      <c r="AE352" s="236"/>
    </row>
    <row r="353" spans="1:31" x14ac:dyDescent="0.2">
      <c r="A353" s="227"/>
      <c r="B353" s="227"/>
      <c r="C353" s="228" t="s">
        <v>420</v>
      </c>
      <c r="D353" s="229" t="s">
        <v>421</v>
      </c>
      <c r="E353" s="230" t="s">
        <v>761</v>
      </c>
      <c r="F353" s="231">
        <v>0</v>
      </c>
      <c r="G353" s="232">
        <f t="shared" si="135"/>
        <v>0</v>
      </c>
      <c r="H353" s="230" t="s">
        <v>761</v>
      </c>
      <c r="I353" s="234">
        <f t="shared" si="144"/>
        <v>5720</v>
      </c>
      <c r="J353" s="936">
        <f t="shared" si="137"/>
        <v>1</v>
      </c>
      <c r="K353" s="241">
        <f t="shared" si="145"/>
        <v>5720</v>
      </c>
      <c r="L353" s="236">
        <f t="shared" si="142"/>
        <v>0</v>
      </c>
      <c r="M353" s="236"/>
      <c r="N353" s="236"/>
      <c r="O353" s="236"/>
      <c r="P353" s="236"/>
      <c r="Q353" s="236"/>
      <c r="R353" s="236"/>
      <c r="S353" s="236"/>
      <c r="T353" s="236">
        <f t="shared" si="146"/>
        <v>5720</v>
      </c>
      <c r="U353" s="236"/>
      <c r="V353" s="236">
        <v>5720</v>
      </c>
      <c r="W353" s="236"/>
      <c r="X353" s="236"/>
      <c r="Y353" s="236"/>
      <c r="Z353" s="236"/>
      <c r="AA353" s="236"/>
      <c r="AB353" s="236"/>
      <c r="AC353" s="236"/>
      <c r="AD353" s="236"/>
      <c r="AE353" s="236"/>
    </row>
    <row r="354" spans="1:31" x14ac:dyDescent="0.2">
      <c r="A354" s="227"/>
      <c r="B354" s="227"/>
      <c r="C354" s="228" t="s">
        <v>410</v>
      </c>
      <c r="D354" s="229" t="s">
        <v>411</v>
      </c>
      <c r="E354" s="230" t="s">
        <v>762</v>
      </c>
      <c r="F354" s="231">
        <v>949.26</v>
      </c>
      <c r="G354" s="232">
        <f t="shared" si="135"/>
        <v>0.29664374999999998</v>
      </c>
      <c r="H354" s="230" t="s">
        <v>762</v>
      </c>
      <c r="I354" s="234">
        <f t="shared" si="144"/>
        <v>2000</v>
      </c>
      <c r="J354" s="936">
        <f t="shared" si="137"/>
        <v>0.625</v>
      </c>
      <c r="K354" s="241">
        <f t="shared" si="145"/>
        <v>2000</v>
      </c>
      <c r="L354" s="236">
        <f t="shared" si="142"/>
        <v>2000</v>
      </c>
      <c r="M354" s="236"/>
      <c r="N354" s="236"/>
      <c r="O354" s="236"/>
      <c r="P354" s="236"/>
      <c r="Q354" s="236"/>
      <c r="R354" s="236">
        <v>2000</v>
      </c>
      <c r="S354" s="236"/>
      <c r="T354" s="236">
        <f t="shared" si="146"/>
        <v>0</v>
      </c>
      <c r="U354" s="236"/>
      <c r="V354" s="236"/>
      <c r="W354" s="236"/>
      <c r="X354" s="236"/>
      <c r="Y354" s="236"/>
      <c r="Z354" s="236"/>
      <c r="AA354" s="236"/>
      <c r="AB354" s="236"/>
      <c r="AC354" s="236"/>
      <c r="AD354" s="236"/>
      <c r="AE354" s="236"/>
    </row>
    <row r="355" spans="1:31" x14ac:dyDescent="0.2">
      <c r="A355" s="227"/>
      <c r="B355" s="227"/>
      <c r="C355" s="228" t="s">
        <v>763</v>
      </c>
      <c r="D355" s="229" t="s">
        <v>411</v>
      </c>
      <c r="E355" s="230" t="s">
        <v>764</v>
      </c>
      <c r="F355" s="231">
        <v>0</v>
      </c>
      <c r="G355" s="232">
        <f t="shared" si="135"/>
        <v>0</v>
      </c>
      <c r="H355" s="230" t="s">
        <v>764</v>
      </c>
      <c r="I355" s="234">
        <f t="shared" si="144"/>
        <v>0</v>
      </c>
      <c r="J355" s="936">
        <f t="shared" si="137"/>
        <v>0</v>
      </c>
      <c r="K355" s="241">
        <f t="shared" si="145"/>
        <v>0</v>
      </c>
      <c r="L355" s="236">
        <f t="shared" si="142"/>
        <v>0</v>
      </c>
      <c r="M355" s="236"/>
      <c r="N355" s="236"/>
      <c r="O355" s="236"/>
      <c r="P355" s="236"/>
      <c r="Q355" s="236"/>
      <c r="R355" s="236"/>
      <c r="S355" s="236"/>
      <c r="T355" s="236">
        <f t="shared" si="146"/>
        <v>0</v>
      </c>
      <c r="U355" s="236"/>
      <c r="V355" s="236"/>
      <c r="W355" s="236"/>
      <c r="X355" s="236"/>
      <c r="Y355" s="236"/>
      <c r="Z355" s="236"/>
      <c r="AA355" s="236"/>
      <c r="AB355" s="236"/>
      <c r="AC355" s="236"/>
      <c r="AD355" s="236"/>
      <c r="AE355" s="236"/>
    </row>
    <row r="356" spans="1:31" x14ac:dyDescent="0.2">
      <c r="A356" s="227"/>
      <c r="B356" s="227"/>
      <c r="C356" s="228" t="s">
        <v>765</v>
      </c>
      <c r="D356" s="229" t="s">
        <v>411</v>
      </c>
      <c r="E356" s="230" t="s">
        <v>766</v>
      </c>
      <c r="F356" s="231">
        <v>0</v>
      </c>
      <c r="G356" s="232">
        <f t="shared" si="135"/>
        <v>0</v>
      </c>
      <c r="H356" s="230" t="s">
        <v>766</v>
      </c>
      <c r="I356" s="234">
        <f t="shared" si="144"/>
        <v>0</v>
      </c>
      <c r="J356" s="936">
        <f t="shared" si="137"/>
        <v>0</v>
      </c>
      <c r="K356" s="241">
        <f t="shared" si="145"/>
        <v>0</v>
      </c>
      <c r="L356" s="236">
        <f t="shared" si="142"/>
        <v>0</v>
      </c>
      <c r="M356" s="236"/>
      <c r="N356" s="236"/>
      <c r="O356" s="236"/>
      <c r="P356" s="236"/>
      <c r="Q356" s="236"/>
      <c r="R356" s="236"/>
      <c r="S356" s="236"/>
      <c r="T356" s="236">
        <f t="shared" si="146"/>
        <v>0</v>
      </c>
      <c r="U356" s="236"/>
      <c r="V356" s="236"/>
      <c r="W356" s="236"/>
      <c r="X356" s="236"/>
      <c r="Y356" s="236"/>
      <c r="Z356" s="236"/>
      <c r="AA356" s="236"/>
      <c r="AB356" s="236"/>
      <c r="AC356" s="236"/>
      <c r="AD356" s="236"/>
      <c r="AE356" s="236"/>
    </row>
    <row r="357" spans="1:31" x14ac:dyDescent="0.2">
      <c r="A357" s="227"/>
      <c r="B357" s="227"/>
      <c r="C357" s="228" t="s">
        <v>767</v>
      </c>
      <c r="D357" s="229" t="s">
        <v>631</v>
      </c>
      <c r="E357" s="230" t="s">
        <v>768</v>
      </c>
      <c r="F357" s="231">
        <v>0</v>
      </c>
      <c r="G357" s="232">
        <f t="shared" si="135"/>
        <v>0</v>
      </c>
      <c r="H357" s="230" t="s">
        <v>768</v>
      </c>
      <c r="I357" s="234">
        <f t="shared" si="144"/>
        <v>0</v>
      </c>
      <c r="J357" s="936">
        <f t="shared" si="137"/>
        <v>0</v>
      </c>
      <c r="K357" s="241">
        <f t="shared" si="145"/>
        <v>0</v>
      </c>
      <c r="L357" s="236">
        <f t="shared" si="142"/>
        <v>0</v>
      </c>
      <c r="M357" s="236"/>
      <c r="N357" s="236"/>
      <c r="O357" s="236"/>
      <c r="P357" s="236"/>
      <c r="Q357" s="236"/>
      <c r="R357" s="236"/>
      <c r="S357" s="236"/>
      <c r="T357" s="236">
        <f t="shared" si="146"/>
        <v>0</v>
      </c>
      <c r="U357" s="236"/>
      <c r="V357" s="236"/>
      <c r="W357" s="236"/>
      <c r="X357" s="236"/>
      <c r="Y357" s="236"/>
      <c r="Z357" s="236"/>
      <c r="AA357" s="236"/>
      <c r="AB357" s="236"/>
      <c r="AC357" s="236"/>
      <c r="AD357" s="236"/>
      <c r="AE357" s="236"/>
    </row>
    <row r="358" spans="1:31" x14ac:dyDescent="0.2">
      <c r="A358" s="227"/>
      <c r="B358" s="227"/>
      <c r="C358" s="228" t="s">
        <v>769</v>
      </c>
      <c r="D358" s="229" t="s">
        <v>631</v>
      </c>
      <c r="E358" s="230" t="s">
        <v>770</v>
      </c>
      <c r="F358" s="231">
        <v>0</v>
      </c>
      <c r="G358" s="232">
        <f t="shared" si="135"/>
        <v>0</v>
      </c>
      <c r="H358" s="230" t="s">
        <v>770</v>
      </c>
      <c r="I358" s="234">
        <f t="shared" si="144"/>
        <v>0</v>
      </c>
      <c r="J358" s="936">
        <f t="shared" si="137"/>
        <v>0</v>
      </c>
      <c r="K358" s="241">
        <f t="shared" si="145"/>
        <v>0</v>
      </c>
      <c r="L358" s="236">
        <f t="shared" si="142"/>
        <v>0</v>
      </c>
      <c r="M358" s="236"/>
      <c r="N358" s="236"/>
      <c r="O358" s="236"/>
      <c r="P358" s="236"/>
      <c r="Q358" s="236"/>
      <c r="R358" s="236"/>
      <c r="S358" s="236"/>
      <c r="T358" s="236">
        <f t="shared" si="146"/>
        <v>0</v>
      </c>
      <c r="U358" s="236"/>
      <c r="V358" s="236"/>
      <c r="W358" s="236"/>
      <c r="X358" s="236"/>
      <c r="Y358" s="236"/>
      <c r="Z358" s="236"/>
      <c r="AA358" s="236"/>
      <c r="AB358" s="236"/>
      <c r="AC358" s="236"/>
      <c r="AD358" s="236"/>
      <c r="AE358" s="236"/>
    </row>
    <row r="359" spans="1:31" x14ac:dyDescent="0.2">
      <c r="A359" s="227"/>
      <c r="B359" s="227"/>
      <c r="C359" s="228" t="s">
        <v>413</v>
      </c>
      <c r="D359" s="229" t="s">
        <v>414</v>
      </c>
      <c r="E359" s="230" t="s">
        <v>771</v>
      </c>
      <c r="F359" s="231">
        <v>0</v>
      </c>
      <c r="G359" s="232">
        <f t="shared" si="135"/>
        <v>0</v>
      </c>
      <c r="H359" s="230" t="s">
        <v>771</v>
      </c>
      <c r="I359" s="234">
        <f t="shared" si="144"/>
        <v>34280</v>
      </c>
      <c r="J359" s="936">
        <f t="shared" si="137"/>
        <v>1.1707650273224044</v>
      </c>
      <c r="K359" s="241">
        <f t="shared" si="145"/>
        <v>34280</v>
      </c>
      <c r="L359" s="236">
        <f t="shared" si="142"/>
        <v>0</v>
      </c>
      <c r="M359" s="236"/>
      <c r="N359" s="236"/>
      <c r="O359" s="236"/>
      <c r="P359" s="236"/>
      <c r="Q359" s="236"/>
      <c r="R359" s="236"/>
      <c r="S359" s="236"/>
      <c r="T359" s="236">
        <f t="shared" si="146"/>
        <v>34280</v>
      </c>
      <c r="U359" s="236"/>
      <c r="V359" s="236">
        <v>29280</v>
      </c>
      <c r="W359" s="236"/>
      <c r="X359" s="236"/>
      <c r="Y359" s="236"/>
      <c r="Z359" s="236"/>
      <c r="AA359" s="236"/>
      <c r="AB359" s="236"/>
      <c r="AC359" s="236"/>
      <c r="AD359" s="236">
        <v>5000</v>
      </c>
      <c r="AE359" s="236"/>
    </row>
    <row r="360" spans="1:31" x14ac:dyDescent="0.2">
      <c r="A360" s="227"/>
      <c r="B360" s="227"/>
      <c r="C360" s="228" t="s">
        <v>772</v>
      </c>
      <c r="D360" s="229" t="s">
        <v>414</v>
      </c>
      <c r="E360" s="230" t="s">
        <v>773</v>
      </c>
      <c r="F360" s="231">
        <v>18270.240000000002</v>
      </c>
      <c r="G360" s="232">
        <f t="shared" si="135"/>
        <v>0.1530164702855466</v>
      </c>
      <c r="H360" s="230" t="s">
        <v>773</v>
      </c>
      <c r="I360" s="234">
        <f t="shared" si="144"/>
        <v>0</v>
      </c>
      <c r="J360" s="936">
        <f t="shared" si="137"/>
        <v>0</v>
      </c>
      <c r="K360" s="241">
        <f t="shared" si="145"/>
        <v>0</v>
      </c>
      <c r="L360" s="236">
        <f t="shared" si="142"/>
        <v>0</v>
      </c>
      <c r="M360" s="236"/>
      <c r="N360" s="236"/>
      <c r="O360" s="236"/>
      <c r="P360" s="236"/>
      <c r="Q360" s="236"/>
      <c r="R360" s="236"/>
      <c r="S360" s="236"/>
      <c r="T360" s="236">
        <f t="shared" si="146"/>
        <v>0</v>
      </c>
      <c r="U360" s="236"/>
      <c r="V360" s="236"/>
      <c r="W360" s="236"/>
      <c r="X360" s="236"/>
      <c r="Y360" s="236"/>
      <c r="Z360" s="236"/>
      <c r="AA360" s="236"/>
      <c r="AB360" s="236"/>
      <c r="AC360" s="236"/>
      <c r="AD360" s="236"/>
      <c r="AE360" s="236"/>
    </row>
    <row r="361" spans="1:31" x14ac:dyDescent="0.2">
      <c r="A361" s="227"/>
      <c r="B361" s="227"/>
      <c r="C361" s="228" t="s">
        <v>774</v>
      </c>
      <c r="D361" s="229" t="s">
        <v>414</v>
      </c>
      <c r="E361" s="230" t="s">
        <v>775</v>
      </c>
      <c r="F361" s="231">
        <v>2129.7600000000002</v>
      </c>
      <c r="G361" s="232">
        <f t="shared" si="135"/>
        <v>0.15307367770406735</v>
      </c>
      <c r="H361" s="230" t="s">
        <v>775</v>
      </c>
      <c r="I361" s="234">
        <f t="shared" si="144"/>
        <v>0</v>
      </c>
      <c r="J361" s="936">
        <f t="shared" si="137"/>
        <v>0</v>
      </c>
      <c r="K361" s="241">
        <f t="shared" si="145"/>
        <v>0</v>
      </c>
      <c r="L361" s="236">
        <f t="shared" si="142"/>
        <v>0</v>
      </c>
      <c r="M361" s="236"/>
      <c r="N361" s="236"/>
      <c r="O361" s="236"/>
      <c r="P361" s="236"/>
      <c r="Q361" s="236"/>
      <c r="R361" s="236"/>
      <c r="S361" s="236"/>
      <c r="T361" s="236">
        <f t="shared" si="146"/>
        <v>0</v>
      </c>
      <c r="U361" s="236"/>
      <c r="V361" s="236"/>
      <c r="W361" s="236"/>
      <c r="X361" s="236"/>
      <c r="Y361" s="236"/>
      <c r="Z361" s="236"/>
      <c r="AA361" s="236"/>
      <c r="AB361" s="236"/>
      <c r="AC361" s="236"/>
      <c r="AD361" s="236"/>
      <c r="AE361" s="236"/>
    </row>
    <row r="362" spans="1:31" x14ac:dyDescent="0.2">
      <c r="A362" s="227"/>
      <c r="B362" s="227"/>
      <c r="C362" s="228" t="s">
        <v>537</v>
      </c>
      <c r="D362" s="229" t="s">
        <v>538</v>
      </c>
      <c r="E362" s="230" t="s">
        <v>776</v>
      </c>
      <c r="F362" s="231">
        <v>152567</v>
      </c>
      <c r="G362" s="232">
        <f t="shared" si="135"/>
        <v>1</v>
      </c>
      <c r="H362" s="230" t="s">
        <v>776</v>
      </c>
      <c r="I362" s="234">
        <f t="shared" si="144"/>
        <v>202124</v>
      </c>
      <c r="J362" s="936">
        <f t="shared" si="137"/>
        <v>1.3248212260842778</v>
      </c>
      <c r="K362" s="241">
        <f t="shared" si="145"/>
        <v>202124</v>
      </c>
      <c r="L362" s="236">
        <f t="shared" si="142"/>
        <v>0</v>
      </c>
      <c r="M362" s="236"/>
      <c r="N362" s="236"/>
      <c r="O362" s="236"/>
      <c r="P362" s="236"/>
      <c r="Q362" s="236"/>
      <c r="R362" s="236"/>
      <c r="S362" s="236"/>
      <c r="T362" s="236">
        <f t="shared" si="146"/>
        <v>202124</v>
      </c>
      <c r="U362" s="236">
        <v>34926</v>
      </c>
      <c r="V362" s="236">
        <v>95022</v>
      </c>
      <c r="W362" s="236">
        <v>9593</v>
      </c>
      <c r="X362" s="236">
        <v>17778</v>
      </c>
      <c r="Y362" s="236">
        <v>15898</v>
      </c>
      <c r="Z362" s="236">
        <v>4832</v>
      </c>
      <c r="AA362" s="236">
        <v>10610</v>
      </c>
      <c r="AB362" s="236">
        <v>5788</v>
      </c>
      <c r="AC362" s="236">
        <v>4253</v>
      </c>
      <c r="AD362" s="236">
        <v>3424</v>
      </c>
      <c r="AE362" s="236"/>
    </row>
    <row r="363" spans="1:31" x14ac:dyDescent="0.2">
      <c r="A363" s="213" t="s">
        <v>273</v>
      </c>
      <c r="B363" s="213"/>
      <c r="C363" s="213"/>
      <c r="D363" s="214" t="s">
        <v>274</v>
      </c>
      <c r="E363" s="215">
        <f>E364+E366+E370+E383</f>
        <v>550075</v>
      </c>
      <c r="F363" s="273">
        <f t="shared" ref="F363:AE363" si="147">F364+F366+F370+F383</f>
        <v>286473.82</v>
      </c>
      <c r="G363" s="246">
        <f t="shared" si="135"/>
        <v>0.52079047402626921</v>
      </c>
      <c r="H363" s="273">
        <f t="shared" si="147"/>
        <v>534038.04999999993</v>
      </c>
      <c r="I363" s="274">
        <f t="shared" si="147"/>
        <v>358000</v>
      </c>
      <c r="J363" s="938">
        <f t="shared" si="137"/>
        <v>0.65082034268054356</v>
      </c>
      <c r="K363" s="924">
        <f t="shared" si="147"/>
        <v>358000</v>
      </c>
      <c r="L363" s="215">
        <f t="shared" si="147"/>
        <v>358000</v>
      </c>
      <c r="M363" s="215">
        <f t="shared" si="147"/>
        <v>0</v>
      </c>
      <c r="N363" s="215">
        <f t="shared" si="147"/>
        <v>0</v>
      </c>
      <c r="O363" s="215">
        <f t="shared" si="147"/>
        <v>12000</v>
      </c>
      <c r="P363" s="215">
        <f t="shared" si="147"/>
        <v>346000</v>
      </c>
      <c r="Q363" s="215">
        <f t="shared" si="147"/>
        <v>0</v>
      </c>
      <c r="R363" s="218">
        <f>R364+R366+R370+R383</f>
        <v>0</v>
      </c>
      <c r="S363" s="215">
        <f t="shared" si="147"/>
        <v>0</v>
      </c>
      <c r="T363" s="215">
        <f t="shared" si="147"/>
        <v>0</v>
      </c>
      <c r="U363" s="215">
        <f t="shared" si="147"/>
        <v>0</v>
      </c>
      <c r="V363" s="215">
        <f t="shared" si="147"/>
        <v>0</v>
      </c>
      <c r="W363" s="215">
        <f t="shared" si="147"/>
        <v>0</v>
      </c>
      <c r="X363" s="215">
        <f t="shared" si="147"/>
        <v>0</v>
      </c>
      <c r="Y363" s="215">
        <f t="shared" si="147"/>
        <v>0</v>
      </c>
      <c r="Z363" s="215">
        <f t="shared" si="147"/>
        <v>0</v>
      </c>
      <c r="AA363" s="215">
        <f t="shared" si="147"/>
        <v>0</v>
      </c>
      <c r="AB363" s="215">
        <f t="shared" si="147"/>
        <v>0</v>
      </c>
      <c r="AC363" s="215">
        <f t="shared" si="147"/>
        <v>0</v>
      </c>
      <c r="AD363" s="215">
        <f t="shared" si="147"/>
        <v>0</v>
      </c>
      <c r="AE363" s="215">
        <f t="shared" si="147"/>
        <v>0</v>
      </c>
    </row>
    <row r="364" spans="1:31" ht="15" x14ac:dyDescent="0.2">
      <c r="A364" s="219"/>
      <c r="B364" s="220" t="s">
        <v>777</v>
      </c>
      <c r="C364" s="221"/>
      <c r="D364" s="222" t="s">
        <v>778</v>
      </c>
      <c r="E364" s="223" t="str">
        <f>E365</f>
        <v>25 000,00</v>
      </c>
      <c r="F364" s="239">
        <f t="shared" ref="F364:AE364" si="148">F365</f>
        <v>25000</v>
      </c>
      <c r="G364" s="238">
        <f t="shared" si="135"/>
        <v>1</v>
      </c>
      <c r="H364" s="239">
        <f t="shared" si="148"/>
        <v>25000</v>
      </c>
      <c r="I364" s="240">
        <f t="shared" si="148"/>
        <v>0</v>
      </c>
      <c r="J364" s="937">
        <f t="shared" si="137"/>
        <v>0</v>
      </c>
      <c r="K364" s="925">
        <f t="shared" si="148"/>
        <v>0</v>
      </c>
      <c r="L364" s="223">
        <f t="shared" si="148"/>
        <v>0</v>
      </c>
      <c r="M364" s="223">
        <f t="shared" si="148"/>
        <v>0</v>
      </c>
      <c r="N364" s="223">
        <f t="shared" si="148"/>
        <v>0</v>
      </c>
      <c r="O364" s="223">
        <f t="shared" si="148"/>
        <v>0</v>
      </c>
      <c r="P364" s="223">
        <f t="shared" si="148"/>
        <v>0</v>
      </c>
      <c r="Q364" s="223">
        <f t="shared" si="148"/>
        <v>0</v>
      </c>
      <c r="R364" s="226">
        <f>R365</f>
        <v>0</v>
      </c>
      <c r="S364" s="223">
        <f t="shared" si="148"/>
        <v>0</v>
      </c>
      <c r="T364" s="223">
        <f t="shared" si="148"/>
        <v>0</v>
      </c>
      <c r="U364" s="223">
        <f t="shared" si="148"/>
        <v>0</v>
      </c>
      <c r="V364" s="223">
        <f t="shared" si="148"/>
        <v>0</v>
      </c>
      <c r="W364" s="223">
        <f t="shared" si="148"/>
        <v>0</v>
      </c>
      <c r="X364" s="223">
        <f t="shared" si="148"/>
        <v>0</v>
      </c>
      <c r="Y364" s="223">
        <f t="shared" si="148"/>
        <v>0</v>
      </c>
      <c r="Z364" s="223">
        <f t="shared" si="148"/>
        <v>0</v>
      </c>
      <c r="AA364" s="223">
        <f t="shared" si="148"/>
        <v>0</v>
      </c>
      <c r="AB364" s="223">
        <f t="shared" si="148"/>
        <v>0</v>
      </c>
      <c r="AC364" s="223">
        <f t="shared" si="148"/>
        <v>0</v>
      </c>
      <c r="AD364" s="223">
        <f t="shared" si="148"/>
        <v>0</v>
      </c>
      <c r="AE364" s="223">
        <f t="shared" si="148"/>
        <v>0</v>
      </c>
    </row>
    <row r="365" spans="1:31" ht="45" x14ac:dyDescent="0.2">
      <c r="A365" s="227"/>
      <c r="B365" s="227"/>
      <c r="C365" s="228" t="s">
        <v>779</v>
      </c>
      <c r="D365" s="229" t="s">
        <v>780</v>
      </c>
      <c r="E365" s="230" t="s">
        <v>61</v>
      </c>
      <c r="F365" s="231">
        <v>25000</v>
      </c>
      <c r="G365" s="232">
        <f t="shared" si="135"/>
        <v>1</v>
      </c>
      <c r="H365" s="233">
        <v>25000</v>
      </c>
      <c r="I365" s="234">
        <f>K365</f>
        <v>0</v>
      </c>
      <c r="J365" s="936">
        <f t="shared" si="137"/>
        <v>0</v>
      </c>
      <c r="K365" s="241">
        <f>L365+S365+T365</f>
        <v>0</v>
      </c>
      <c r="L365" s="236">
        <f>SUM(M365:R365)</f>
        <v>0</v>
      </c>
      <c r="M365" s="236"/>
      <c r="N365" s="236"/>
      <c r="O365" s="236"/>
      <c r="P365" s="236"/>
      <c r="Q365" s="236"/>
      <c r="R365" s="236"/>
      <c r="S365" s="236"/>
      <c r="T365" s="236">
        <f>SUM(U365:AD365)</f>
        <v>0</v>
      </c>
      <c r="U365" s="236"/>
      <c r="V365" s="236"/>
      <c r="W365" s="236"/>
      <c r="X365" s="236"/>
      <c r="Y365" s="236"/>
      <c r="Z365" s="236"/>
      <c r="AA365" s="236"/>
      <c r="AB365" s="236"/>
      <c r="AC365" s="236"/>
      <c r="AD365" s="236"/>
      <c r="AE365" s="236"/>
    </row>
    <row r="366" spans="1:31" ht="15" x14ac:dyDescent="0.2">
      <c r="A366" s="219"/>
      <c r="B366" s="220" t="s">
        <v>781</v>
      </c>
      <c r="C366" s="221"/>
      <c r="D366" s="222" t="s">
        <v>782</v>
      </c>
      <c r="E366" s="223">
        <f>E367+E368+E369</f>
        <v>7800</v>
      </c>
      <c r="F366" s="223">
        <f t="shared" ref="F366:AE366" si="149">F367+F368+F369</f>
        <v>0</v>
      </c>
      <c r="G366" s="238">
        <f t="shared" si="135"/>
        <v>0</v>
      </c>
      <c r="H366" s="223">
        <f t="shared" si="149"/>
        <v>7800</v>
      </c>
      <c r="I366" s="225">
        <f t="shared" si="149"/>
        <v>5500</v>
      </c>
      <c r="J366" s="937">
        <f t="shared" si="137"/>
        <v>0.70512820512820518</v>
      </c>
      <c r="K366" s="925">
        <f t="shared" si="149"/>
        <v>5500</v>
      </c>
      <c r="L366" s="223">
        <f t="shared" si="149"/>
        <v>5500</v>
      </c>
      <c r="M366" s="223">
        <f t="shared" si="149"/>
        <v>0</v>
      </c>
      <c r="N366" s="223">
        <f t="shared" si="149"/>
        <v>0</v>
      </c>
      <c r="O366" s="223">
        <f t="shared" si="149"/>
        <v>0</v>
      </c>
      <c r="P366" s="223">
        <f t="shared" si="149"/>
        <v>5500</v>
      </c>
      <c r="Q366" s="223">
        <f t="shared" si="149"/>
        <v>0</v>
      </c>
      <c r="R366" s="226">
        <f>R367+R368+R369</f>
        <v>0</v>
      </c>
      <c r="S366" s="223">
        <f t="shared" si="149"/>
        <v>0</v>
      </c>
      <c r="T366" s="223">
        <f t="shared" si="149"/>
        <v>0</v>
      </c>
      <c r="U366" s="223">
        <f t="shared" si="149"/>
        <v>0</v>
      </c>
      <c r="V366" s="223">
        <f t="shared" si="149"/>
        <v>0</v>
      </c>
      <c r="W366" s="223">
        <f t="shared" si="149"/>
        <v>0</v>
      </c>
      <c r="X366" s="223">
        <f t="shared" si="149"/>
        <v>0</v>
      </c>
      <c r="Y366" s="223">
        <f t="shared" si="149"/>
        <v>0</v>
      </c>
      <c r="Z366" s="223">
        <f t="shared" si="149"/>
        <v>0</v>
      </c>
      <c r="AA366" s="223">
        <f t="shared" si="149"/>
        <v>0</v>
      </c>
      <c r="AB366" s="223">
        <f t="shared" si="149"/>
        <v>0</v>
      </c>
      <c r="AC366" s="223">
        <f t="shared" si="149"/>
        <v>0</v>
      </c>
      <c r="AD366" s="223">
        <f t="shared" si="149"/>
        <v>0</v>
      </c>
      <c r="AE366" s="223">
        <f t="shared" si="149"/>
        <v>0</v>
      </c>
    </row>
    <row r="367" spans="1:31" x14ac:dyDescent="0.2">
      <c r="A367" s="227"/>
      <c r="B367" s="227"/>
      <c r="C367" s="228" t="s">
        <v>420</v>
      </c>
      <c r="D367" s="229" t="s">
        <v>421</v>
      </c>
      <c r="E367" s="275" t="s">
        <v>783</v>
      </c>
      <c r="F367" s="231">
        <v>0</v>
      </c>
      <c r="G367" s="232">
        <f t="shared" si="135"/>
        <v>0</v>
      </c>
      <c r="H367" s="233">
        <v>2240</v>
      </c>
      <c r="I367" s="234">
        <f>K367</f>
        <v>2240</v>
      </c>
      <c r="J367" s="936">
        <f t="shared" si="137"/>
        <v>1</v>
      </c>
      <c r="K367" s="241">
        <f>L367+S367+T367</f>
        <v>2240</v>
      </c>
      <c r="L367" s="236">
        <f>SUM(M367:R367)</f>
        <v>2240</v>
      </c>
      <c r="M367" s="236"/>
      <c r="N367" s="236"/>
      <c r="O367" s="236"/>
      <c r="P367" s="236">
        <v>2240</v>
      </c>
      <c r="Q367" s="236"/>
      <c r="R367" s="236"/>
      <c r="S367" s="236"/>
      <c r="T367" s="236">
        <f>SUM(U367:AD367)</f>
        <v>0</v>
      </c>
      <c r="U367" s="236"/>
      <c r="V367" s="236"/>
      <c r="W367" s="236"/>
      <c r="X367" s="236"/>
      <c r="Y367" s="236"/>
      <c r="Z367" s="236"/>
      <c r="AA367" s="236"/>
      <c r="AB367" s="236"/>
      <c r="AC367" s="236"/>
      <c r="AD367" s="236"/>
      <c r="AE367" s="236"/>
    </row>
    <row r="368" spans="1:31" x14ac:dyDescent="0.2">
      <c r="A368" s="227"/>
      <c r="B368" s="227"/>
      <c r="C368" s="228" t="s">
        <v>410</v>
      </c>
      <c r="D368" s="229" t="s">
        <v>411</v>
      </c>
      <c r="E368" s="275" t="s">
        <v>113</v>
      </c>
      <c r="F368" s="231">
        <v>0</v>
      </c>
      <c r="G368" s="232">
        <f t="shared" si="135"/>
        <v>0</v>
      </c>
      <c r="H368" s="233">
        <v>1000</v>
      </c>
      <c r="I368" s="234">
        <f t="shared" ref="I368:I369" si="150">K368</f>
        <v>1000</v>
      </c>
      <c r="J368" s="936">
        <f t="shared" si="137"/>
        <v>1</v>
      </c>
      <c r="K368" s="241">
        <f t="shared" ref="K368:K369" si="151">L368+S368+T368</f>
        <v>1000</v>
      </c>
      <c r="L368" s="236">
        <f>SUM(M368:R368)</f>
        <v>1000</v>
      </c>
      <c r="M368" s="236"/>
      <c r="N368" s="236"/>
      <c r="O368" s="236"/>
      <c r="P368" s="236">
        <v>1000</v>
      </c>
      <c r="Q368" s="236"/>
      <c r="R368" s="236"/>
      <c r="S368" s="236"/>
      <c r="T368" s="236">
        <f>SUM(U368:AD368)</f>
        <v>0</v>
      </c>
      <c r="U368" s="236"/>
      <c r="V368" s="236"/>
      <c r="W368" s="236"/>
      <c r="X368" s="236"/>
      <c r="Y368" s="236"/>
      <c r="Z368" s="236"/>
      <c r="AA368" s="236"/>
      <c r="AB368" s="236"/>
      <c r="AC368" s="236"/>
      <c r="AD368" s="236"/>
      <c r="AE368" s="236"/>
    </row>
    <row r="369" spans="1:31" x14ac:dyDescent="0.2">
      <c r="A369" s="227"/>
      <c r="B369" s="227"/>
      <c r="C369" s="228" t="s">
        <v>413</v>
      </c>
      <c r="D369" s="229" t="s">
        <v>414</v>
      </c>
      <c r="E369" s="275" t="s">
        <v>784</v>
      </c>
      <c r="F369" s="231">
        <v>0</v>
      </c>
      <c r="G369" s="232">
        <f t="shared" si="135"/>
        <v>0</v>
      </c>
      <c r="H369" s="233">
        <v>4560</v>
      </c>
      <c r="I369" s="234">
        <f t="shared" si="150"/>
        <v>2260</v>
      </c>
      <c r="J369" s="936">
        <f t="shared" si="137"/>
        <v>0.49561403508771928</v>
      </c>
      <c r="K369" s="241">
        <f t="shared" si="151"/>
        <v>2260</v>
      </c>
      <c r="L369" s="236">
        <f>SUM(M369:R369)</f>
        <v>2260</v>
      </c>
      <c r="M369" s="236"/>
      <c r="N369" s="236"/>
      <c r="O369" s="236"/>
      <c r="P369" s="236">
        <v>2260</v>
      </c>
      <c r="Q369" s="236"/>
      <c r="R369" s="236"/>
      <c r="S369" s="236"/>
      <c r="T369" s="236">
        <f>SUM(U369:AD369)</f>
        <v>0</v>
      </c>
      <c r="U369" s="236"/>
      <c r="V369" s="236"/>
      <c r="W369" s="236"/>
      <c r="X369" s="236"/>
      <c r="Y369" s="236"/>
      <c r="Z369" s="236"/>
      <c r="AA369" s="236"/>
      <c r="AB369" s="236"/>
      <c r="AC369" s="236"/>
      <c r="AD369" s="236"/>
      <c r="AE369" s="236"/>
    </row>
    <row r="370" spans="1:31" ht="15" x14ac:dyDescent="0.2">
      <c r="A370" s="219"/>
      <c r="B370" s="220" t="s">
        <v>275</v>
      </c>
      <c r="C370" s="221"/>
      <c r="D370" s="222" t="s">
        <v>276</v>
      </c>
      <c r="E370" s="223">
        <f>E371+E372+E373+E374+E375+E376+E377+E378+E379+E380+E381+E382</f>
        <v>385275</v>
      </c>
      <c r="F370" s="223">
        <f t="shared" ref="F370:AE370" si="152">F371+F372+F373+F374+F375+F376+F377+F378+F379+F380+F381+F382</f>
        <v>251473.82</v>
      </c>
      <c r="G370" s="238">
        <f t="shared" si="135"/>
        <v>0.65271253001103113</v>
      </c>
      <c r="H370" s="223">
        <f t="shared" si="152"/>
        <v>371238.04999999993</v>
      </c>
      <c r="I370" s="225">
        <f t="shared" si="152"/>
        <v>340500</v>
      </c>
      <c r="J370" s="937">
        <f t="shared" si="137"/>
        <v>0.88378430990850687</v>
      </c>
      <c r="K370" s="925">
        <f t="shared" si="152"/>
        <v>340500</v>
      </c>
      <c r="L370" s="223">
        <f t="shared" si="152"/>
        <v>340500</v>
      </c>
      <c r="M370" s="223">
        <f t="shared" si="152"/>
        <v>0</v>
      </c>
      <c r="N370" s="223">
        <f t="shared" si="152"/>
        <v>0</v>
      </c>
      <c r="O370" s="223">
        <f t="shared" si="152"/>
        <v>0</v>
      </c>
      <c r="P370" s="223">
        <f t="shared" si="152"/>
        <v>340500</v>
      </c>
      <c r="Q370" s="223">
        <f t="shared" si="152"/>
        <v>0</v>
      </c>
      <c r="R370" s="226">
        <f>R371+R372+R373+R374+R375+R376+R377+R378+R379+R380+R381+R382</f>
        <v>0</v>
      </c>
      <c r="S370" s="223">
        <f t="shared" si="152"/>
        <v>0</v>
      </c>
      <c r="T370" s="223">
        <f t="shared" si="152"/>
        <v>0</v>
      </c>
      <c r="U370" s="223">
        <f t="shared" si="152"/>
        <v>0</v>
      </c>
      <c r="V370" s="223">
        <f t="shared" si="152"/>
        <v>0</v>
      </c>
      <c r="W370" s="223">
        <f t="shared" si="152"/>
        <v>0</v>
      </c>
      <c r="X370" s="223">
        <f t="shared" si="152"/>
        <v>0</v>
      </c>
      <c r="Y370" s="223">
        <f t="shared" si="152"/>
        <v>0</v>
      </c>
      <c r="Z370" s="223">
        <f t="shared" si="152"/>
        <v>0</v>
      </c>
      <c r="AA370" s="223">
        <f t="shared" si="152"/>
        <v>0</v>
      </c>
      <c r="AB370" s="223">
        <f t="shared" si="152"/>
        <v>0</v>
      </c>
      <c r="AC370" s="223">
        <f t="shared" si="152"/>
        <v>0</v>
      </c>
      <c r="AD370" s="223">
        <f t="shared" si="152"/>
        <v>0</v>
      </c>
      <c r="AE370" s="223">
        <f t="shared" si="152"/>
        <v>0</v>
      </c>
    </row>
    <row r="371" spans="1:31" ht="56.25" x14ac:dyDescent="0.2">
      <c r="A371" s="227"/>
      <c r="B371" s="227"/>
      <c r="C371" s="228" t="s">
        <v>109</v>
      </c>
      <c r="D371" s="229" t="s">
        <v>595</v>
      </c>
      <c r="E371" s="230" t="s">
        <v>785</v>
      </c>
      <c r="F371" s="231">
        <v>42312</v>
      </c>
      <c r="G371" s="232">
        <f t="shared" si="135"/>
        <v>0.88149999999999995</v>
      </c>
      <c r="H371" s="233">
        <v>42312</v>
      </c>
      <c r="I371" s="234">
        <f>K371</f>
        <v>40000</v>
      </c>
      <c r="J371" s="936">
        <f t="shared" si="137"/>
        <v>0.83333333333333337</v>
      </c>
      <c r="K371" s="241">
        <f>L371+S371+T371</f>
        <v>40000</v>
      </c>
      <c r="L371" s="236">
        <f>SUM(M371:R371)</f>
        <v>40000</v>
      </c>
      <c r="M371" s="236"/>
      <c r="N371" s="236"/>
      <c r="O371" s="236"/>
      <c r="P371" s="236">
        <v>40000</v>
      </c>
      <c r="Q371" s="236"/>
      <c r="R371" s="236"/>
      <c r="S371" s="236"/>
      <c r="T371" s="236">
        <f>SUM(U371:AD371)</f>
        <v>0</v>
      </c>
      <c r="U371" s="236"/>
      <c r="V371" s="236"/>
      <c r="W371" s="236"/>
      <c r="X371" s="236"/>
      <c r="Y371" s="236"/>
      <c r="Z371" s="236"/>
      <c r="AA371" s="236"/>
      <c r="AB371" s="236"/>
      <c r="AC371" s="236"/>
      <c r="AD371" s="236"/>
      <c r="AE371" s="236"/>
    </row>
    <row r="372" spans="1:31" ht="33.75" x14ac:dyDescent="0.2">
      <c r="A372" s="227"/>
      <c r="B372" s="227"/>
      <c r="C372" s="228" t="s">
        <v>34</v>
      </c>
      <c r="D372" s="229" t="s">
        <v>741</v>
      </c>
      <c r="E372" s="230">
        <v>24030</v>
      </c>
      <c r="F372" s="231">
        <v>24030</v>
      </c>
      <c r="G372" s="232">
        <f t="shared" si="135"/>
        <v>1</v>
      </c>
      <c r="H372" s="233">
        <v>24030</v>
      </c>
      <c r="I372" s="234">
        <f t="shared" ref="I372:I382" si="153">K372</f>
        <v>25000</v>
      </c>
      <c r="J372" s="936">
        <f t="shared" si="137"/>
        <v>1.0403662089055348</v>
      </c>
      <c r="K372" s="241">
        <f t="shared" ref="K372:K382" si="154">L372+S372+T372</f>
        <v>25000</v>
      </c>
      <c r="L372" s="236">
        <f t="shared" ref="L372:L382" si="155">SUM(M372:R372)</f>
        <v>25000</v>
      </c>
      <c r="M372" s="236"/>
      <c r="N372" s="236"/>
      <c r="O372" s="236"/>
      <c r="P372" s="236">
        <v>25000</v>
      </c>
      <c r="Q372" s="236"/>
      <c r="R372" s="236"/>
      <c r="S372" s="236"/>
      <c r="T372" s="236">
        <f t="shared" ref="T372:T382" si="156">SUM(U372:AD372)</f>
        <v>0</v>
      </c>
      <c r="U372" s="236"/>
      <c r="V372" s="236"/>
      <c r="W372" s="236"/>
      <c r="X372" s="236"/>
      <c r="Y372" s="236"/>
      <c r="Z372" s="236"/>
      <c r="AA372" s="236"/>
      <c r="AB372" s="236"/>
      <c r="AC372" s="236"/>
      <c r="AD372" s="236"/>
      <c r="AE372" s="236"/>
    </row>
    <row r="373" spans="1:31" x14ac:dyDescent="0.2">
      <c r="A373" s="227"/>
      <c r="B373" s="227"/>
      <c r="C373" s="228" t="s">
        <v>404</v>
      </c>
      <c r="D373" s="229" t="s">
        <v>405</v>
      </c>
      <c r="E373" s="230">
        <v>4432.6099999999997</v>
      </c>
      <c r="F373" s="231">
        <v>2351.8200000000002</v>
      </c>
      <c r="G373" s="232">
        <f t="shared" si="135"/>
        <v>0.53057228134214385</v>
      </c>
      <c r="H373" s="233">
        <v>4432.6099999999997</v>
      </c>
      <c r="I373" s="234">
        <f t="shared" si="153"/>
        <v>3200</v>
      </c>
      <c r="J373" s="936">
        <f t="shared" si="137"/>
        <v>0.72192229860059876</v>
      </c>
      <c r="K373" s="241">
        <f t="shared" si="154"/>
        <v>3200</v>
      </c>
      <c r="L373" s="236">
        <f t="shared" si="155"/>
        <v>3200</v>
      </c>
      <c r="M373" s="236"/>
      <c r="N373" s="236"/>
      <c r="O373" s="236"/>
      <c r="P373" s="236">
        <v>3200</v>
      </c>
      <c r="Q373" s="236"/>
      <c r="R373" s="236"/>
      <c r="S373" s="236"/>
      <c r="T373" s="236">
        <f t="shared" si="156"/>
        <v>0</v>
      </c>
      <c r="U373" s="236"/>
      <c r="V373" s="236"/>
      <c r="W373" s="236"/>
      <c r="X373" s="236"/>
      <c r="Y373" s="236"/>
      <c r="Z373" s="236"/>
      <c r="AA373" s="236"/>
      <c r="AB373" s="236"/>
      <c r="AC373" s="236"/>
      <c r="AD373" s="236"/>
      <c r="AE373" s="236"/>
    </row>
    <row r="374" spans="1:31" x14ac:dyDescent="0.2">
      <c r="A374" s="227"/>
      <c r="B374" s="227"/>
      <c r="C374" s="228" t="s">
        <v>407</v>
      </c>
      <c r="D374" s="229" t="s">
        <v>408</v>
      </c>
      <c r="E374" s="230" t="s">
        <v>786</v>
      </c>
      <c r="F374" s="231">
        <v>222.77</v>
      </c>
      <c r="G374" s="232">
        <f t="shared" si="135"/>
        <v>0.4627640790211679</v>
      </c>
      <c r="H374" s="233">
        <v>481.39</v>
      </c>
      <c r="I374" s="234">
        <f t="shared" si="153"/>
        <v>300</v>
      </c>
      <c r="J374" s="936">
        <f t="shared" si="137"/>
        <v>0.62319533018965911</v>
      </c>
      <c r="K374" s="241">
        <f t="shared" si="154"/>
        <v>300</v>
      </c>
      <c r="L374" s="236">
        <f t="shared" si="155"/>
        <v>300</v>
      </c>
      <c r="M374" s="236"/>
      <c r="N374" s="236"/>
      <c r="O374" s="236"/>
      <c r="P374" s="236">
        <v>300</v>
      </c>
      <c r="Q374" s="236"/>
      <c r="R374" s="236"/>
      <c r="S374" s="236"/>
      <c r="T374" s="236">
        <f t="shared" si="156"/>
        <v>0</v>
      </c>
      <c r="U374" s="236"/>
      <c r="V374" s="236"/>
      <c r="W374" s="236"/>
      <c r="X374" s="236"/>
      <c r="Y374" s="236"/>
      <c r="Z374" s="236"/>
      <c r="AA374" s="236"/>
      <c r="AB374" s="236"/>
      <c r="AC374" s="236"/>
      <c r="AD374" s="236"/>
      <c r="AE374" s="236"/>
    </row>
    <row r="375" spans="1:31" x14ac:dyDescent="0.2">
      <c r="A375" s="227"/>
      <c r="B375" s="227"/>
      <c r="C375" s="228" t="s">
        <v>420</v>
      </c>
      <c r="D375" s="229" t="s">
        <v>421</v>
      </c>
      <c r="E375" s="230" t="s">
        <v>787</v>
      </c>
      <c r="F375" s="231">
        <v>92466.53</v>
      </c>
      <c r="G375" s="232">
        <f t="shared" si="135"/>
        <v>0.63359711934438356</v>
      </c>
      <c r="H375" s="233">
        <v>145939</v>
      </c>
      <c r="I375" s="234">
        <f t="shared" si="153"/>
        <v>134620</v>
      </c>
      <c r="J375" s="936">
        <f t="shared" si="137"/>
        <v>0.92244019761681251</v>
      </c>
      <c r="K375" s="241">
        <f t="shared" si="154"/>
        <v>134620</v>
      </c>
      <c r="L375" s="236">
        <f t="shared" si="155"/>
        <v>134620</v>
      </c>
      <c r="M375" s="236"/>
      <c r="N375" s="236"/>
      <c r="O375" s="236"/>
      <c r="P375" s="236">
        <v>134620</v>
      </c>
      <c r="Q375" s="236"/>
      <c r="R375" s="236"/>
      <c r="S375" s="236"/>
      <c r="T375" s="236">
        <f t="shared" si="156"/>
        <v>0</v>
      </c>
      <c r="U375" s="236"/>
      <c r="V375" s="236"/>
      <c r="W375" s="236"/>
      <c r="X375" s="236"/>
      <c r="Y375" s="236"/>
      <c r="Z375" s="236"/>
      <c r="AA375" s="236"/>
      <c r="AB375" s="236"/>
      <c r="AC375" s="236"/>
      <c r="AD375" s="236"/>
      <c r="AE375" s="236"/>
    </row>
    <row r="376" spans="1:31" x14ac:dyDescent="0.2">
      <c r="A376" s="227"/>
      <c r="B376" s="227"/>
      <c r="C376" s="228" t="s">
        <v>410</v>
      </c>
      <c r="D376" s="229" t="s">
        <v>411</v>
      </c>
      <c r="E376" s="230" t="s">
        <v>788</v>
      </c>
      <c r="F376" s="231">
        <v>13219.86</v>
      </c>
      <c r="G376" s="232">
        <f t="shared" si="135"/>
        <v>0.57605385855592839</v>
      </c>
      <c r="H376" s="233">
        <v>22949</v>
      </c>
      <c r="I376" s="234">
        <f t="shared" si="153"/>
        <v>26450</v>
      </c>
      <c r="J376" s="936">
        <f t="shared" si="137"/>
        <v>1.152555666913591</v>
      </c>
      <c r="K376" s="241">
        <f t="shared" si="154"/>
        <v>26450</v>
      </c>
      <c r="L376" s="236">
        <f t="shared" si="155"/>
        <v>26450</v>
      </c>
      <c r="M376" s="236"/>
      <c r="N376" s="236"/>
      <c r="O376" s="236"/>
      <c r="P376" s="236">
        <v>26450</v>
      </c>
      <c r="Q376" s="236"/>
      <c r="R376" s="236"/>
      <c r="S376" s="236"/>
      <c r="T376" s="236">
        <f t="shared" si="156"/>
        <v>0</v>
      </c>
      <c r="U376" s="236"/>
      <c r="V376" s="236"/>
      <c r="W376" s="236"/>
      <c r="X376" s="236"/>
      <c r="Y376" s="236"/>
      <c r="Z376" s="236"/>
      <c r="AA376" s="236"/>
      <c r="AB376" s="236"/>
      <c r="AC376" s="236"/>
      <c r="AD376" s="236"/>
      <c r="AE376" s="236"/>
    </row>
    <row r="377" spans="1:31" x14ac:dyDescent="0.2">
      <c r="A377" s="227"/>
      <c r="B377" s="227"/>
      <c r="C377" s="228" t="s">
        <v>424</v>
      </c>
      <c r="D377" s="229" t="s">
        <v>425</v>
      </c>
      <c r="E377" s="230" t="s">
        <v>708</v>
      </c>
      <c r="F377" s="231">
        <v>7599.22</v>
      </c>
      <c r="G377" s="232">
        <f t="shared" si="135"/>
        <v>0.63326833333333332</v>
      </c>
      <c r="H377" s="233">
        <v>11398.83</v>
      </c>
      <c r="I377" s="234">
        <f t="shared" si="153"/>
        <v>6000</v>
      </c>
      <c r="J377" s="936">
        <f t="shared" si="137"/>
        <v>0.5</v>
      </c>
      <c r="K377" s="241">
        <f t="shared" si="154"/>
        <v>6000</v>
      </c>
      <c r="L377" s="236">
        <f t="shared" si="155"/>
        <v>6000</v>
      </c>
      <c r="M377" s="236"/>
      <c r="N377" s="236"/>
      <c r="O377" s="236"/>
      <c r="P377" s="236">
        <v>6000</v>
      </c>
      <c r="Q377" s="236"/>
      <c r="R377" s="236"/>
      <c r="S377" s="236"/>
      <c r="T377" s="236">
        <f t="shared" si="156"/>
        <v>0</v>
      </c>
      <c r="U377" s="236"/>
      <c r="V377" s="236"/>
      <c r="W377" s="236"/>
      <c r="X377" s="236"/>
      <c r="Y377" s="236"/>
      <c r="Z377" s="236"/>
      <c r="AA377" s="236"/>
      <c r="AB377" s="236"/>
      <c r="AC377" s="236"/>
      <c r="AD377" s="236"/>
      <c r="AE377" s="236"/>
    </row>
    <row r="378" spans="1:31" x14ac:dyDescent="0.2">
      <c r="A378" s="227"/>
      <c r="B378" s="227"/>
      <c r="C378" s="228" t="s">
        <v>438</v>
      </c>
      <c r="D378" s="229" t="s">
        <v>439</v>
      </c>
      <c r="E378" s="230" t="s">
        <v>161</v>
      </c>
      <c r="F378" s="231">
        <v>0</v>
      </c>
      <c r="G378" s="232">
        <f t="shared" si="135"/>
        <v>0</v>
      </c>
      <c r="H378" s="233">
        <v>0</v>
      </c>
      <c r="I378" s="234">
        <f t="shared" si="153"/>
        <v>2000</v>
      </c>
      <c r="J378" s="936">
        <f t="shared" si="137"/>
        <v>0.33333333333333331</v>
      </c>
      <c r="K378" s="241">
        <f t="shared" si="154"/>
        <v>2000</v>
      </c>
      <c r="L378" s="236">
        <f t="shared" si="155"/>
        <v>2000</v>
      </c>
      <c r="M378" s="236"/>
      <c r="N378" s="236"/>
      <c r="O378" s="236"/>
      <c r="P378" s="236">
        <v>2000</v>
      </c>
      <c r="Q378" s="236"/>
      <c r="R378" s="236"/>
      <c r="S378" s="236"/>
      <c r="T378" s="236">
        <f t="shared" si="156"/>
        <v>0</v>
      </c>
      <c r="U378" s="236"/>
      <c r="V378" s="236"/>
      <c r="W378" s="236"/>
      <c r="X378" s="236"/>
      <c r="Y378" s="236"/>
      <c r="Z378" s="236"/>
      <c r="AA378" s="236"/>
      <c r="AB378" s="236"/>
      <c r="AC378" s="236"/>
      <c r="AD378" s="236"/>
      <c r="AE378" s="236"/>
    </row>
    <row r="379" spans="1:31" x14ac:dyDescent="0.2">
      <c r="A379" s="227"/>
      <c r="B379" s="227"/>
      <c r="C379" s="228" t="s">
        <v>413</v>
      </c>
      <c r="D379" s="229" t="s">
        <v>414</v>
      </c>
      <c r="E379" s="230" t="s">
        <v>789</v>
      </c>
      <c r="F379" s="231">
        <v>66584.800000000003</v>
      </c>
      <c r="G379" s="232">
        <f t="shared" si="135"/>
        <v>0.57157769136342962</v>
      </c>
      <c r="H379" s="233">
        <v>116493</v>
      </c>
      <c r="I379" s="234">
        <f t="shared" si="153"/>
        <v>99148</v>
      </c>
      <c r="J379" s="936">
        <f t="shared" si="137"/>
        <v>0.85110693346381328</v>
      </c>
      <c r="K379" s="241">
        <f t="shared" si="154"/>
        <v>99148</v>
      </c>
      <c r="L379" s="236">
        <f t="shared" si="155"/>
        <v>99148</v>
      </c>
      <c r="M379" s="236"/>
      <c r="N379" s="236"/>
      <c r="O379" s="236"/>
      <c r="P379" s="236">
        <v>99148</v>
      </c>
      <c r="Q379" s="236"/>
      <c r="R379" s="236"/>
      <c r="S379" s="236"/>
      <c r="T379" s="236">
        <f t="shared" si="156"/>
        <v>0</v>
      </c>
      <c r="U379" s="236"/>
      <c r="V379" s="236"/>
      <c r="W379" s="236"/>
      <c r="X379" s="236"/>
      <c r="Y379" s="236"/>
      <c r="Z379" s="236"/>
      <c r="AA379" s="236"/>
      <c r="AB379" s="236"/>
      <c r="AC379" s="236"/>
      <c r="AD379" s="236"/>
      <c r="AE379" s="236"/>
    </row>
    <row r="380" spans="1:31" x14ac:dyDescent="0.2">
      <c r="A380" s="227"/>
      <c r="B380" s="227"/>
      <c r="C380" s="228" t="s">
        <v>451</v>
      </c>
      <c r="D380" s="229" t="s">
        <v>452</v>
      </c>
      <c r="E380" s="230" t="s">
        <v>95</v>
      </c>
      <c r="F380" s="231">
        <v>1484.6</v>
      </c>
      <c r="G380" s="232">
        <f t="shared" si="135"/>
        <v>0.74229999999999996</v>
      </c>
      <c r="H380" s="233">
        <v>2000</v>
      </c>
      <c r="I380" s="234">
        <f t="shared" si="153"/>
        <v>2000</v>
      </c>
      <c r="J380" s="936">
        <f t="shared" si="137"/>
        <v>1</v>
      </c>
      <c r="K380" s="241">
        <f t="shared" si="154"/>
        <v>2000</v>
      </c>
      <c r="L380" s="236">
        <f t="shared" si="155"/>
        <v>2000</v>
      </c>
      <c r="M380" s="236"/>
      <c r="N380" s="236"/>
      <c r="O380" s="236"/>
      <c r="P380" s="236">
        <v>2000</v>
      </c>
      <c r="Q380" s="236"/>
      <c r="R380" s="236"/>
      <c r="S380" s="236"/>
      <c r="T380" s="236">
        <f t="shared" si="156"/>
        <v>0</v>
      </c>
      <c r="U380" s="236"/>
      <c r="V380" s="236"/>
      <c r="W380" s="236"/>
      <c r="X380" s="236"/>
      <c r="Y380" s="236"/>
      <c r="Z380" s="236"/>
      <c r="AA380" s="236"/>
      <c r="AB380" s="236"/>
      <c r="AC380" s="236"/>
      <c r="AD380" s="236"/>
      <c r="AE380" s="236"/>
    </row>
    <row r="381" spans="1:31" x14ac:dyDescent="0.2">
      <c r="A381" s="227"/>
      <c r="B381" s="227"/>
      <c r="C381" s="228" t="s">
        <v>533</v>
      </c>
      <c r="D381" s="229" t="s">
        <v>534</v>
      </c>
      <c r="E381" s="230" t="s">
        <v>790</v>
      </c>
      <c r="F381" s="231">
        <v>0</v>
      </c>
      <c r="G381" s="232">
        <f t="shared" si="135"/>
        <v>0</v>
      </c>
      <c r="H381" s="233">
        <v>0</v>
      </c>
      <c r="I381" s="234">
        <f t="shared" si="153"/>
        <v>380</v>
      </c>
      <c r="J381" s="936">
        <f t="shared" si="137"/>
        <v>0.4</v>
      </c>
      <c r="K381" s="241">
        <f t="shared" si="154"/>
        <v>380</v>
      </c>
      <c r="L381" s="236">
        <f t="shared" si="155"/>
        <v>380</v>
      </c>
      <c r="M381" s="236"/>
      <c r="N381" s="236"/>
      <c r="O381" s="236"/>
      <c r="P381" s="236">
        <v>380</v>
      </c>
      <c r="Q381" s="236"/>
      <c r="R381" s="236"/>
      <c r="S381" s="236"/>
      <c r="T381" s="236">
        <f t="shared" si="156"/>
        <v>0</v>
      </c>
      <c r="U381" s="236"/>
      <c r="V381" s="236"/>
      <c r="W381" s="236"/>
      <c r="X381" s="236"/>
      <c r="Y381" s="236"/>
      <c r="Z381" s="236"/>
      <c r="AA381" s="236"/>
      <c r="AB381" s="236"/>
      <c r="AC381" s="236"/>
      <c r="AD381" s="236"/>
      <c r="AE381" s="236"/>
    </row>
    <row r="382" spans="1:31" x14ac:dyDescent="0.2">
      <c r="A382" s="227"/>
      <c r="B382" s="227"/>
      <c r="C382" s="228" t="s">
        <v>416</v>
      </c>
      <c r="D382" s="229" t="s">
        <v>417</v>
      </c>
      <c r="E382" s="230" t="s">
        <v>95</v>
      </c>
      <c r="F382" s="231">
        <v>1202.22</v>
      </c>
      <c r="G382" s="232">
        <f t="shared" si="135"/>
        <v>0.60111000000000003</v>
      </c>
      <c r="H382" s="233">
        <v>1202.22</v>
      </c>
      <c r="I382" s="234">
        <f t="shared" si="153"/>
        <v>1402</v>
      </c>
      <c r="J382" s="936">
        <f t="shared" si="137"/>
        <v>0.70099999999999996</v>
      </c>
      <c r="K382" s="241">
        <f t="shared" si="154"/>
        <v>1402</v>
      </c>
      <c r="L382" s="236">
        <f t="shared" si="155"/>
        <v>1402</v>
      </c>
      <c r="M382" s="236"/>
      <c r="N382" s="236"/>
      <c r="O382" s="236"/>
      <c r="P382" s="236">
        <v>1402</v>
      </c>
      <c r="Q382" s="236"/>
      <c r="R382" s="236"/>
      <c r="S382" s="236"/>
      <c r="T382" s="236">
        <f t="shared" si="156"/>
        <v>0</v>
      </c>
      <c r="U382" s="236"/>
      <c r="V382" s="236"/>
      <c r="W382" s="236"/>
      <c r="X382" s="236"/>
      <c r="Y382" s="236"/>
      <c r="Z382" s="236"/>
      <c r="AA382" s="236"/>
      <c r="AB382" s="236"/>
      <c r="AC382" s="236"/>
      <c r="AD382" s="236"/>
      <c r="AE382" s="236"/>
    </row>
    <row r="383" spans="1:31" ht="15" x14ac:dyDescent="0.2">
      <c r="A383" s="219"/>
      <c r="B383" s="220" t="s">
        <v>791</v>
      </c>
      <c r="C383" s="221"/>
      <c r="D383" s="222" t="s">
        <v>41</v>
      </c>
      <c r="E383" s="223">
        <f>E384+E385+E386+E387</f>
        <v>132000</v>
      </c>
      <c r="F383" s="239">
        <f t="shared" ref="F383:AE383" si="157">F384+F385+F386+F387</f>
        <v>10000</v>
      </c>
      <c r="G383" s="238">
        <f t="shared" si="135"/>
        <v>7.575757575757576E-2</v>
      </c>
      <c r="H383" s="239">
        <f t="shared" si="157"/>
        <v>130000</v>
      </c>
      <c r="I383" s="240">
        <f t="shared" si="157"/>
        <v>12000</v>
      </c>
      <c r="J383" s="937">
        <f t="shared" si="137"/>
        <v>9.0909090909090912E-2</v>
      </c>
      <c r="K383" s="925">
        <f t="shared" si="157"/>
        <v>12000</v>
      </c>
      <c r="L383" s="223">
        <f t="shared" si="157"/>
        <v>12000</v>
      </c>
      <c r="M383" s="223">
        <f t="shared" si="157"/>
        <v>0</v>
      </c>
      <c r="N383" s="223">
        <f t="shared" si="157"/>
        <v>0</v>
      </c>
      <c r="O383" s="223">
        <f t="shared" si="157"/>
        <v>12000</v>
      </c>
      <c r="P383" s="223">
        <f t="shared" si="157"/>
        <v>0</v>
      </c>
      <c r="Q383" s="223">
        <f t="shared" si="157"/>
        <v>0</v>
      </c>
      <c r="R383" s="226">
        <f>R384+R385+R386+R387</f>
        <v>0</v>
      </c>
      <c r="S383" s="223">
        <f t="shared" si="157"/>
        <v>0</v>
      </c>
      <c r="T383" s="223">
        <f t="shared" si="157"/>
        <v>0</v>
      </c>
      <c r="U383" s="223">
        <f t="shared" si="157"/>
        <v>0</v>
      </c>
      <c r="V383" s="223">
        <f t="shared" si="157"/>
        <v>0</v>
      </c>
      <c r="W383" s="223">
        <f t="shared" si="157"/>
        <v>0</v>
      </c>
      <c r="X383" s="223">
        <f t="shared" si="157"/>
        <v>0</v>
      </c>
      <c r="Y383" s="223">
        <f t="shared" si="157"/>
        <v>0</v>
      </c>
      <c r="Z383" s="223">
        <f t="shared" si="157"/>
        <v>0</v>
      </c>
      <c r="AA383" s="223">
        <f t="shared" si="157"/>
        <v>0</v>
      </c>
      <c r="AB383" s="223">
        <f t="shared" si="157"/>
        <v>0</v>
      </c>
      <c r="AC383" s="223">
        <f t="shared" si="157"/>
        <v>0</v>
      </c>
      <c r="AD383" s="223">
        <f t="shared" si="157"/>
        <v>0</v>
      </c>
      <c r="AE383" s="223">
        <f t="shared" si="157"/>
        <v>0</v>
      </c>
    </row>
    <row r="384" spans="1:31" ht="56.25" x14ac:dyDescent="0.2">
      <c r="A384" s="227"/>
      <c r="B384" s="227"/>
      <c r="C384" s="228" t="s">
        <v>109</v>
      </c>
      <c r="D384" s="229" t="s">
        <v>595</v>
      </c>
      <c r="E384" s="230" t="s">
        <v>68</v>
      </c>
      <c r="F384" s="231">
        <v>10000</v>
      </c>
      <c r="G384" s="232">
        <f t="shared" si="135"/>
        <v>1</v>
      </c>
      <c r="H384" s="233">
        <v>10000</v>
      </c>
      <c r="I384" s="234">
        <f>K384</f>
        <v>10000</v>
      </c>
      <c r="J384" s="936">
        <f t="shared" si="137"/>
        <v>1</v>
      </c>
      <c r="K384" s="241">
        <f>L384+S384+T384</f>
        <v>10000</v>
      </c>
      <c r="L384" s="236">
        <f>SUM(M384:R384)</f>
        <v>10000</v>
      </c>
      <c r="M384" s="236"/>
      <c r="N384" s="236"/>
      <c r="O384" s="236">
        <v>10000</v>
      </c>
      <c r="P384" s="236"/>
      <c r="Q384" s="236"/>
      <c r="R384" s="236"/>
      <c r="S384" s="236"/>
      <c r="T384" s="236">
        <f>SUM(U384:AD384)</f>
        <v>0</v>
      </c>
      <c r="U384" s="236"/>
      <c r="V384" s="236"/>
      <c r="W384" s="236"/>
      <c r="X384" s="236"/>
      <c r="Y384" s="236"/>
      <c r="Z384" s="236"/>
      <c r="AA384" s="236"/>
      <c r="AB384" s="236"/>
      <c r="AC384" s="236"/>
      <c r="AD384" s="236"/>
      <c r="AE384" s="236"/>
    </row>
    <row r="385" spans="1:31" x14ac:dyDescent="0.2">
      <c r="A385" s="227"/>
      <c r="B385" s="227"/>
      <c r="C385" s="228" t="s">
        <v>410</v>
      </c>
      <c r="D385" s="229" t="s">
        <v>411</v>
      </c>
      <c r="E385" s="230" t="s">
        <v>792</v>
      </c>
      <c r="F385" s="231">
        <v>0</v>
      </c>
      <c r="G385" s="232">
        <f t="shared" si="135"/>
        <v>0</v>
      </c>
      <c r="H385" s="233">
        <v>0</v>
      </c>
      <c r="I385" s="234">
        <f t="shared" ref="I385:I387" si="158">K385</f>
        <v>1050</v>
      </c>
      <c r="J385" s="936">
        <f t="shared" si="137"/>
        <v>1</v>
      </c>
      <c r="K385" s="241">
        <f t="shared" ref="K385:K387" si="159">L385+S385+T385</f>
        <v>1050</v>
      </c>
      <c r="L385" s="236">
        <f>SUM(M385:R385)</f>
        <v>1050</v>
      </c>
      <c r="M385" s="236"/>
      <c r="N385" s="236"/>
      <c r="O385" s="236">
        <v>1050</v>
      </c>
      <c r="P385" s="236"/>
      <c r="Q385" s="236"/>
      <c r="R385" s="236"/>
      <c r="S385" s="236"/>
      <c r="T385" s="236">
        <f>SUM(U385:AD385)</f>
        <v>0</v>
      </c>
      <c r="U385" s="236"/>
      <c r="V385" s="236"/>
      <c r="W385" s="236"/>
      <c r="X385" s="236"/>
      <c r="Y385" s="236"/>
      <c r="Z385" s="236"/>
      <c r="AA385" s="236"/>
      <c r="AB385" s="236"/>
      <c r="AC385" s="236"/>
      <c r="AD385" s="236"/>
      <c r="AE385" s="236"/>
    </row>
    <row r="386" spans="1:31" x14ac:dyDescent="0.2">
      <c r="A386" s="227"/>
      <c r="B386" s="227"/>
      <c r="C386" s="228" t="s">
        <v>413</v>
      </c>
      <c r="D386" s="229" t="s">
        <v>414</v>
      </c>
      <c r="E386" s="230" t="s">
        <v>790</v>
      </c>
      <c r="F386" s="231">
        <v>0</v>
      </c>
      <c r="G386" s="232">
        <f t="shared" si="135"/>
        <v>0</v>
      </c>
      <c r="H386" s="233">
        <v>0</v>
      </c>
      <c r="I386" s="234">
        <f t="shared" si="158"/>
        <v>950</v>
      </c>
      <c r="J386" s="936">
        <f t="shared" si="137"/>
        <v>1</v>
      </c>
      <c r="K386" s="241">
        <f t="shared" si="159"/>
        <v>950</v>
      </c>
      <c r="L386" s="236">
        <f>SUM(M386:R386)</f>
        <v>950</v>
      </c>
      <c r="M386" s="236"/>
      <c r="N386" s="236"/>
      <c r="O386" s="236">
        <v>950</v>
      </c>
      <c r="P386" s="236"/>
      <c r="Q386" s="236"/>
      <c r="R386" s="236"/>
      <c r="S386" s="236"/>
      <c r="T386" s="236">
        <f>SUM(U386:AD386)</f>
        <v>0</v>
      </c>
      <c r="U386" s="236"/>
      <c r="V386" s="236"/>
      <c r="W386" s="236"/>
      <c r="X386" s="236"/>
      <c r="Y386" s="236"/>
      <c r="Z386" s="236"/>
      <c r="AA386" s="236"/>
      <c r="AB386" s="236"/>
      <c r="AC386" s="236"/>
      <c r="AD386" s="236"/>
      <c r="AE386" s="236"/>
    </row>
    <row r="387" spans="1:31" x14ac:dyDescent="0.2">
      <c r="A387" s="227"/>
      <c r="B387" s="227"/>
      <c r="C387" s="228" t="s">
        <v>454</v>
      </c>
      <c r="D387" s="229" t="s">
        <v>455</v>
      </c>
      <c r="E387" s="230" t="s">
        <v>793</v>
      </c>
      <c r="F387" s="231">
        <v>0</v>
      </c>
      <c r="G387" s="232">
        <f t="shared" si="135"/>
        <v>0</v>
      </c>
      <c r="H387" s="233">
        <v>120000</v>
      </c>
      <c r="I387" s="234">
        <f t="shared" si="158"/>
        <v>0</v>
      </c>
      <c r="J387" s="936">
        <f t="shared" si="137"/>
        <v>0</v>
      </c>
      <c r="K387" s="241">
        <f t="shared" si="159"/>
        <v>0</v>
      </c>
      <c r="L387" s="236">
        <f>SUM(M387:R387)</f>
        <v>0</v>
      </c>
      <c r="M387" s="236"/>
      <c r="N387" s="236"/>
      <c r="O387" s="236">
        <v>0</v>
      </c>
      <c r="P387" s="236"/>
      <c r="Q387" s="236"/>
      <c r="R387" s="236"/>
      <c r="S387" s="236"/>
      <c r="T387" s="236">
        <f>SUM(U387:AD387)</f>
        <v>0</v>
      </c>
      <c r="U387" s="236"/>
      <c r="V387" s="236"/>
      <c r="W387" s="236"/>
      <c r="X387" s="236"/>
      <c r="Y387" s="236"/>
      <c r="Z387" s="236"/>
      <c r="AA387" s="236"/>
      <c r="AB387" s="236"/>
      <c r="AC387" s="236"/>
      <c r="AD387" s="236"/>
      <c r="AE387" s="236"/>
    </row>
    <row r="388" spans="1:31" x14ac:dyDescent="0.2">
      <c r="A388" s="213" t="s">
        <v>279</v>
      </c>
      <c r="B388" s="213"/>
      <c r="C388" s="213"/>
      <c r="D388" s="214" t="s">
        <v>280</v>
      </c>
      <c r="E388" s="215">
        <f>E389+E391+E405+E408+E411+E413+E416+E419+E438+E443+E445+E447</f>
        <v>5707675</v>
      </c>
      <c r="F388" s="273">
        <f t="shared" ref="F388:AE388" si="160">F389+F391+F405+F408+F411+F413+F416+F419+F438+F443+F445+F447</f>
        <v>3618780.28</v>
      </c>
      <c r="G388" s="246">
        <f t="shared" si="135"/>
        <v>0.6340200309232743</v>
      </c>
      <c r="H388" s="273">
        <f t="shared" si="160"/>
        <v>5669997.2999999998</v>
      </c>
      <c r="I388" s="274">
        <f t="shared" si="160"/>
        <v>4795894</v>
      </c>
      <c r="J388" s="938">
        <f t="shared" si="137"/>
        <v>0.84025351828897055</v>
      </c>
      <c r="K388" s="924">
        <f t="shared" si="160"/>
        <v>4795894</v>
      </c>
      <c r="L388" s="215">
        <f t="shared" si="160"/>
        <v>1161850</v>
      </c>
      <c r="M388" s="215">
        <f t="shared" si="160"/>
        <v>380000</v>
      </c>
      <c r="N388" s="215">
        <f t="shared" si="160"/>
        <v>0</v>
      </c>
      <c r="O388" s="215">
        <f t="shared" si="160"/>
        <v>0</v>
      </c>
      <c r="P388" s="215">
        <f t="shared" si="160"/>
        <v>781850</v>
      </c>
      <c r="Q388" s="215">
        <f t="shared" si="160"/>
        <v>0</v>
      </c>
      <c r="R388" s="218">
        <f>R389+R391+R405+R408+R411+R413+R416+R419+R438+R443+R445+R447</f>
        <v>0</v>
      </c>
      <c r="S388" s="215">
        <f t="shared" si="160"/>
        <v>3634044</v>
      </c>
      <c r="T388" s="215">
        <f t="shared" si="160"/>
        <v>0</v>
      </c>
      <c r="U388" s="215">
        <f t="shared" si="160"/>
        <v>0</v>
      </c>
      <c r="V388" s="215">
        <f t="shared" si="160"/>
        <v>0</v>
      </c>
      <c r="W388" s="215">
        <f t="shared" si="160"/>
        <v>0</v>
      </c>
      <c r="X388" s="215">
        <f t="shared" si="160"/>
        <v>0</v>
      </c>
      <c r="Y388" s="215">
        <f t="shared" si="160"/>
        <v>0</v>
      </c>
      <c r="Z388" s="215">
        <f t="shared" si="160"/>
        <v>0</v>
      </c>
      <c r="AA388" s="215">
        <f t="shared" si="160"/>
        <v>0</v>
      </c>
      <c r="AB388" s="215">
        <f t="shared" si="160"/>
        <v>0</v>
      </c>
      <c r="AC388" s="215">
        <f t="shared" si="160"/>
        <v>0</v>
      </c>
      <c r="AD388" s="215">
        <f t="shared" si="160"/>
        <v>0</v>
      </c>
      <c r="AE388" s="215">
        <f t="shared" si="160"/>
        <v>0</v>
      </c>
    </row>
    <row r="389" spans="1:31" ht="15" x14ac:dyDescent="0.2">
      <c r="A389" s="219"/>
      <c r="B389" s="220" t="s">
        <v>794</v>
      </c>
      <c r="C389" s="221"/>
      <c r="D389" s="222" t="s">
        <v>795</v>
      </c>
      <c r="E389" s="223" t="str">
        <f>E390</f>
        <v>605 000,00</v>
      </c>
      <c r="F389" s="239">
        <f t="shared" ref="F389:AE389" si="161">F390</f>
        <v>446930.83</v>
      </c>
      <c r="G389" s="238">
        <f t="shared" si="135"/>
        <v>0.73872864462809917</v>
      </c>
      <c r="H389" s="239">
        <f t="shared" si="161"/>
        <v>605000</v>
      </c>
      <c r="I389" s="240">
        <f t="shared" si="161"/>
        <v>620200</v>
      </c>
      <c r="J389" s="937">
        <f t="shared" si="137"/>
        <v>1.0251239669421488</v>
      </c>
      <c r="K389" s="925">
        <f t="shared" si="161"/>
        <v>620200</v>
      </c>
      <c r="L389" s="223">
        <f t="shared" si="161"/>
        <v>0</v>
      </c>
      <c r="M389" s="223">
        <f t="shared" si="161"/>
        <v>0</v>
      </c>
      <c r="N389" s="223">
        <f t="shared" si="161"/>
        <v>0</v>
      </c>
      <c r="O389" s="223">
        <f t="shared" si="161"/>
        <v>0</v>
      </c>
      <c r="P389" s="223">
        <f t="shared" si="161"/>
        <v>0</v>
      </c>
      <c r="Q389" s="223">
        <f t="shared" si="161"/>
        <v>0</v>
      </c>
      <c r="R389" s="226">
        <f>R390</f>
        <v>0</v>
      </c>
      <c r="S389" s="223">
        <f t="shared" si="161"/>
        <v>620200</v>
      </c>
      <c r="T389" s="223">
        <f t="shared" si="161"/>
        <v>0</v>
      </c>
      <c r="U389" s="223">
        <f t="shared" si="161"/>
        <v>0</v>
      </c>
      <c r="V389" s="223">
        <f t="shared" si="161"/>
        <v>0</v>
      </c>
      <c r="W389" s="223">
        <f t="shared" si="161"/>
        <v>0</v>
      </c>
      <c r="X389" s="223">
        <f t="shared" si="161"/>
        <v>0</v>
      </c>
      <c r="Y389" s="223">
        <f t="shared" si="161"/>
        <v>0</v>
      </c>
      <c r="Z389" s="223">
        <f t="shared" si="161"/>
        <v>0</v>
      </c>
      <c r="AA389" s="223">
        <f t="shared" si="161"/>
        <v>0</v>
      </c>
      <c r="AB389" s="223">
        <f t="shared" si="161"/>
        <v>0</v>
      </c>
      <c r="AC389" s="223">
        <f t="shared" si="161"/>
        <v>0</v>
      </c>
      <c r="AD389" s="223">
        <f t="shared" si="161"/>
        <v>0</v>
      </c>
      <c r="AE389" s="223">
        <f t="shared" si="161"/>
        <v>0</v>
      </c>
    </row>
    <row r="390" spans="1:31" ht="22.5" x14ac:dyDescent="0.2">
      <c r="A390" s="227"/>
      <c r="B390" s="227"/>
      <c r="C390" s="228" t="s">
        <v>637</v>
      </c>
      <c r="D390" s="229" t="s">
        <v>638</v>
      </c>
      <c r="E390" s="230" t="s">
        <v>796</v>
      </c>
      <c r="F390" s="231">
        <v>446930.83</v>
      </c>
      <c r="G390" s="232">
        <f t="shared" si="135"/>
        <v>0.73872864462809917</v>
      </c>
      <c r="H390" s="233">
        <v>605000</v>
      </c>
      <c r="I390" s="234">
        <f>K390</f>
        <v>620200</v>
      </c>
      <c r="J390" s="936">
        <f t="shared" si="137"/>
        <v>1.0251239669421488</v>
      </c>
      <c r="K390" s="241">
        <f>L390+S390+T390</f>
        <v>620200</v>
      </c>
      <c r="L390" s="236">
        <f>SUM(M390:R390)</f>
        <v>0</v>
      </c>
      <c r="M390" s="236"/>
      <c r="N390" s="236"/>
      <c r="O390" s="236"/>
      <c r="P390" s="236"/>
      <c r="Q390" s="236"/>
      <c r="R390" s="242"/>
      <c r="S390" s="236">
        <v>620200</v>
      </c>
      <c r="T390" s="236">
        <f>SUM(U390:AD390)</f>
        <v>0</v>
      </c>
      <c r="U390" s="242"/>
      <c r="V390" s="242"/>
      <c r="W390" s="242"/>
      <c r="X390" s="242"/>
      <c r="Y390" s="242"/>
      <c r="Z390" s="242"/>
      <c r="AA390" s="242"/>
      <c r="AB390" s="242"/>
      <c r="AC390" s="242"/>
      <c r="AD390" s="242"/>
      <c r="AE390" s="242"/>
    </row>
    <row r="391" spans="1:31" ht="15" x14ac:dyDescent="0.2">
      <c r="A391" s="219"/>
      <c r="B391" s="220" t="s">
        <v>281</v>
      </c>
      <c r="C391" s="221"/>
      <c r="D391" s="222" t="s">
        <v>282</v>
      </c>
      <c r="E391" s="223">
        <f>E393+E395+E396+E397+E398+E399+E400+E404+E394+E401+E402+E403</f>
        <v>1216057</v>
      </c>
      <c r="F391" s="260">
        <f>F393+F395+F396+F397+F398+F399+F400+F404+F394+F401+F402+F403</f>
        <v>248000</v>
      </c>
      <c r="G391" s="276">
        <f>F391/E391</f>
        <v>0.20393780883626345</v>
      </c>
      <c r="H391" s="223">
        <f>H393+H395+H396+H397+H398+H399+H400+H404+H394+H401+H402+H403</f>
        <v>1216057</v>
      </c>
      <c r="I391" s="225">
        <f>I393+I395+I396+I397+I398+I399+I400+I404+I394+I401+I402+I403+I392</f>
        <v>630900</v>
      </c>
      <c r="J391" s="971">
        <f>I391/E391</f>
        <v>0.51880791772096213</v>
      </c>
      <c r="K391" s="926">
        <f>K393+K395+K396+K397+K398+K399+K400+K404+K394+K392+K401+K403+K402</f>
        <v>630900</v>
      </c>
      <c r="L391" s="260">
        <f>L393+L395+L396+L397+L398+L399+L400+L404+L394+L401+L402+L403+L392</f>
        <v>630900</v>
      </c>
      <c r="M391" s="260">
        <f>M393+M395+M396+M397+M398+M399+M400+M404+M394</f>
        <v>0</v>
      </c>
      <c r="N391" s="260">
        <f>N393+N395+N396+N397+N398+N399+N400+N404+N394</f>
        <v>0</v>
      </c>
      <c r="O391" s="260">
        <f>O393+O395+O396+O397+O398+O399+O400+O404+O394</f>
        <v>0</v>
      </c>
      <c r="P391" s="260">
        <f>P393+P394+P395+P396+P397+P398+P399+P400+P401+P402+P403+P404+P392</f>
        <v>630900</v>
      </c>
      <c r="Q391" s="260">
        <f t="shared" ref="Q391:AE391" si="162">Q393+Q395+Q396+Q397+Q398+Q399+Q400+Q404+Q394</f>
        <v>0</v>
      </c>
      <c r="R391" s="260">
        <f t="shared" si="162"/>
        <v>0</v>
      </c>
      <c r="S391" s="260">
        <f t="shared" si="162"/>
        <v>0</v>
      </c>
      <c r="T391" s="260">
        <f t="shared" si="162"/>
        <v>0</v>
      </c>
      <c r="U391" s="260">
        <f t="shared" si="162"/>
        <v>0</v>
      </c>
      <c r="V391" s="260">
        <f t="shared" si="162"/>
        <v>0</v>
      </c>
      <c r="W391" s="260">
        <f t="shared" si="162"/>
        <v>0</v>
      </c>
      <c r="X391" s="260">
        <f t="shared" si="162"/>
        <v>0</v>
      </c>
      <c r="Y391" s="260">
        <f t="shared" si="162"/>
        <v>0</v>
      </c>
      <c r="Z391" s="260">
        <f t="shared" si="162"/>
        <v>0</v>
      </c>
      <c r="AA391" s="260">
        <f t="shared" si="162"/>
        <v>0</v>
      </c>
      <c r="AB391" s="260">
        <f t="shared" si="162"/>
        <v>0</v>
      </c>
      <c r="AC391" s="260">
        <f t="shared" si="162"/>
        <v>0</v>
      </c>
      <c r="AD391" s="260">
        <f t="shared" si="162"/>
        <v>0</v>
      </c>
      <c r="AE391" s="260">
        <f t="shared" si="162"/>
        <v>0</v>
      </c>
    </row>
    <row r="392" spans="1:31" s="271" customFormat="1" ht="11.25" x14ac:dyDescent="0.2">
      <c r="A392" s="262"/>
      <c r="B392" s="262"/>
      <c r="C392" s="263" t="s">
        <v>491</v>
      </c>
      <c r="D392" s="229" t="s">
        <v>492</v>
      </c>
      <c r="E392" s="265">
        <v>0</v>
      </c>
      <c r="F392" s="270">
        <v>0</v>
      </c>
      <c r="G392" s="277">
        <v>0</v>
      </c>
      <c r="H392" s="266">
        <v>0</v>
      </c>
      <c r="I392" s="268">
        <f>K392</f>
        <v>2000</v>
      </c>
      <c r="J392" s="972">
        <v>0</v>
      </c>
      <c r="K392" s="266">
        <f>L392+S392+T392</f>
        <v>2000</v>
      </c>
      <c r="L392" s="270">
        <f>SUM(M392:R392)</f>
        <v>2000</v>
      </c>
      <c r="M392" s="270"/>
      <c r="N392" s="270"/>
      <c r="O392" s="270"/>
      <c r="P392" s="270">
        <v>2000</v>
      </c>
      <c r="Q392" s="270"/>
      <c r="R392" s="270"/>
      <c r="S392" s="270"/>
      <c r="T392" s="270"/>
      <c r="U392" s="270"/>
      <c r="V392" s="270"/>
      <c r="W392" s="270"/>
      <c r="X392" s="270"/>
      <c r="Y392" s="270"/>
      <c r="Z392" s="270"/>
      <c r="AA392" s="270"/>
      <c r="AB392" s="270"/>
      <c r="AC392" s="270"/>
      <c r="AD392" s="270"/>
      <c r="AE392" s="270"/>
    </row>
    <row r="393" spans="1:31" x14ac:dyDescent="0.2">
      <c r="A393" s="227"/>
      <c r="B393" s="227"/>
      <c r="C393" s="228" t="s">
        <v>401</v>
      </c>
      <c r="D393" s="229" t="s">
        <v>402</v>
      </c>
      <c r="E393" s="230" t="s">
        <v>68</v>
      </c>
      <c r="F393" s="231">
        <v>0</v>
      </c>
      <c r="G393" s="232">
        <f t="shared" si="135"/>
        <v>0</v>
      </c>
      <c r="H393" s="233">
        <v>10000</v>
      </c>
      <c r="I393" s="234">
        <f>K393</f>
        <v>184296.8</v>
      </c>
      <c r="J393" s="936">
        <f t="shared" si="137"/>
        <v>18.429679999999998</v>
      </c>
      <c r="K393" s="241">
        <f>L393+S393+T393</f>
        <v>184296.8</v>
      </c>
      <c r="L393" s="236">
        <f>SUM(M393:R393)</f>
        <v>184296.8</v>
      </c>
      <c r="M393" s="236"/>
      <c r="N393" s="236"/>
      <c r="O393" s="236"/>
      <c r="P393" s="236">
        <v>184296.8</v>
      </c>
      <c r="Q393" s="236"/>
      <c r="R393" s="236"/>
      <c r="S393" s="236"/>
      <c r="T393" s="236">
        <f>SUM(U393:AD393)</f>
        <v>0</v>
      </c>
      <c r="U393" s="236"/>
      <c r="V393" s="236"/>
      <c r="W393" s="236"/>
      <c r="X393" s="236"/>
      <c r="Y393" s="236"/>
      <c r="Z393" s="236"/>
      <c r="AA393" s="236"/>
      <c r="AB393" s="236"/>
      <c r="AC393" s="236"/>
      <c r="AD393" s="236"/>
      <c r="AE393" s="236"/>
    </row>
    <row r="394" spans="1:31" x14ac:dyDescent="0.2">
      <c r="A394" s="227"/>
      <c r="B394" s="227"/>
      <c r="C394" s="228" t="s">
        <v>495</v>
      </c>
      <c r="D394" s="229" t="s">
        <v>496</v>
      </c>
      <c r="E394" s="230">
        <v>0</v>
      </c>
      <c r="F394" s="231">
        <v>0</v>
      </c>
      <c r="G394" s="232">
        <v>0</v>
      </c>
      <c r="H394" s="233">
        <v>0</v>
      </c>
      <c r="I394" s="234">
        <f t="shared" ref="I394:I404" si="163">K394</f>
        <v>850</v>
      </c>
      <c r="J394" s="936">
        <v>0</v>
      </c>
      <c r="K394" s="241">
        <f>L394+S394+T394</f>
        <v>850</v>
      </c>
      <c r="L394" s="236">
        <f>SUM(M394:R394)</f>
        <v>850</v>
      </c>
      <c r="M394" s="236"/>
      <c r="N394" s="236"/>
      <c r="O394" s="236"/>
      <c r="P394" s="236">
        <v>850</v>
      </c>
      <c r="Q394" s="236"/>
      <c r="R394" s="236"/>
      <c r="S394" s="236"/>
      <c r="T394" s="236"/>
      <c r="U394" s="236"/>
      <c r="V394" s="236"/>
      <c r="W394" s="236"/>
      <c r="X394" s="236"/>
      <c r="Y394" s="236"/>
      <c r="Z394" s="236"/>
      <c r="AA394" s="236"/>
      <c r="AB394" s="236"/>
      <c r="AC394" s="236"/>
      <c r="AD394" s="236"/>
      <c r="AE394" s="236"/>
    </row>
    <row r="395" spans="1:31" x14ac:dyDescent="0.2">
      <c r="A395" s="227"/>
      <c r="B395" s="227"/>
      <c r="C395" s="228" t="s">
        <v>404</v>
      </c>
      <c r="D395" s="229" t="s">
        <v>405</v>
      </c>
      <c r="E395" s="230" t="s">
        <v>797</v>
      </c>
      <c r="F395" s="231">
        <v>0</v>
      </c>
      <c r="G395" s="232">
        <f t="shared" si="135"/>
        <v>0</v>
      </c>
      <c r="H395" s="233">
        <v>1710</v>
      </c>
      <c r="I395" s="234">
        <f t="shared" si="163"/>
        <v>31660.1</v>
      </c>
      <c r="J395" s="936">
        <f t="shared" si="137"/>
        <v>18.514678362573097</v>
      </c>
      <c r="K395" s="241">
        <f t="shared" ref="K395:K404" si="164">L395+S395+T395</f>
        <v>31660.1</v>
      </c>
      <c r="L395" s="236">
        <f t="shared" ref="L395:L404" si="165">SUM(M395:R395)</f>
        <v>31660.1</v>
      </c>
      <c r="M395" s="236"/>
      <c r="N395" s="236"/>
      <c r="O395" s="236"/>
      <c r="P395" s="236">
        <v>31660.1</v>
      </c>
      <c r="Q395" s="236"/>
      <c r="R395" s="236"/>
      <c r="S395" s="236"/>
      <c r="T395" s="236">
        <f t="shared" ref="T395:T404" si="166">SUM(U395:AD395)</f>
        <v>0</v>
      </c>
      <c r="U395" s="236"/>
      <c r="V395" s="236"/>
      <c r="W395" s="236"/>
      <c r="X395" s="236"/>
      <c r="Y395" s="236"/>
      <c r="Z395" s="236"/>
      <c r="AA395" s="236"/>
      <c r="AB395" s="236"/>
      <c r="AC395" s="236"/>
      <c r="AD395" s="236"/>
      <c r="AE395" s="236"/>
    </row>
    <row r="396" spans="1:31" x14ac:dyDescent="0.2">
      <c r="A396" s="227"/>
      <c r="B396" s="227"/>
      <c r="C396" s="228" t="s">
        <v>407</v>
      </c>
      <c r="D396" s="229" t="s">
        <v>408</v>
      </c>
      <c r="E396" s="230" t="s">
        <v>572</v>
      </c>
      <c r="F396" s="231">
        <v>0</v>
      </c>
      <c r="G396" s="232">
        <f t="shared" si="135"/>
        <v>0</v>
      </c>
      <c r="H396" s="233">
        <v>245</v>
      </c>
      <c r="I396" s="234">
        <f t="shared" si="163"/>
        <v>4536.1000000000004</v>
      </c>
      <c r="J396" s="936">
        <f t="shared" si="137"/>
        <v>18.514693877551021</v>
      </c>
      <c r="K396" s="241">
        <f t="shared" si="164"/>
        <v>4536.1000000000004</v>
      </c>
      <c r="L396" s="236">
        <f t="shared" si="165"/>
        <v>4536.1000000000004</v>
      </c>
      <c r="M396" s="236"/>
      <c r="N396" s="236"/>
      <c r="O396" s="236"/>
      <c r="P396" s="236">
        <v>4536.1000000000004</v>
      </c>
      <c r="Q396" s="236"/>
      <c r="R396" s="236"/>
      <c r="S396" s="236"/>
      <c r="T396" s="236">
        <f t="shared" si="166"/>
        <v>0</v>
      </c>
      <c r="U396" s="236"/>
      <c r="V396" s="236"/>
      <c r="W396" s="236"/>
      <c r="X396" s="236"/>
      <c r="Y396" s="236"/>
      <c r="Z396" s="236"/>
      <c r="AA396" s="236"/>
      <c r="AB396" s="236"/>
      <c r="AC396" s="236"/>
      <c r="AD396" s="236"/>
      <c r="AE396" s="236"/>
    </row>
    <row r="397" spans="1:31" x14ac:dyDescent="0.2">
      <c r="A397" s="227"/>
      <c r="B397" s="227"/>
      <c r="C397" s="228" t="s">
        <v>420</v>
      </c>
      <c r="D397" s="229" t="s">
        <v>421</v>
      </c>
      <c r="E397" s="230" t="s">
        <v>68</v>
      </c>
      <c r="F397" s="231">
        <v>0</v>
      </c>
      <c r="G397" s="232">
        <f t="shared" ref="G397:G463" si="167">F397/E397</f>
        <v>0</v>
      </c>
      <c r="H397" s="233">
        <v>10000</v>
      </c>
      <c r="I397" s="234">
        <f t="shared" si="163"/>
        <v>0</v>
      </c>
      <c r="J397" s="936">
        <f t="shared" ref="J397:J463" si="168">I397/E397</f>
        <v>0</v>
      </c>
      <c r="K397" s="241">
        <f t="shared" si="164"/>
        <v>0</v>
      </c>
      <c r="L397" s="236">
        <f t="shared" si="165"/>
        <v>0</v>
      </c>
      <c r="M397" s="236"/>
      <c r="N397" s="236"/>
      <c r="O397" s="236"/>
      <c r="P397" s="236">
        <v>0</v>
      </c>
      <c r="Q397" s="236"/>
      <c r="R397" s="236"/>
      <c r="S397" s="236"/>
      <c r="T397" s="236">
        <f t="shared" si="166"/>
        <v>0</v>
      </c>
      <c r="U397" s="236"/>
      <c r="V397" s="236"/>
      <c r="W397" s="236"/>
      <c r="X397" s="236"/>
      <c r="Y397" s="236"/>
      <c r="Z397" s="236"/>
      <c r="AA397" s="236"/>
      <c r="AB397" s="236"/>
      <c r="AC397" s="236"/>
      <c r="AD397" s="236"/>
      <c r="AE397" s="236"/>
    </row>
    <row r="398" spans="1:31" x14ac:dyDescent="0.2">
      <c r="A398" s="227"/>
      <c r="B398" s="227"/>
      <c r="C398" s="228" t="s">
        <v>410</v>
      </c>
      <c r="D398" s="229" t="s">
        <v>411</v>
      </c>
      <c r="E398" s="230" t="s">
        <v>798</v>
      </c>
      <c r="F398" s="231">
        <v>0</v>
      </c>
      <c r="G398" s="232">
        <f t="shared" si="167"/>
        <v>0</v>
      </c>
      <c r="H398" s="233">
        <v>140101</v>
      </c>
      <c r="I398" s="234">
        <f t="shared" si="163"/>
        <v>48814</v>
      </c>
      <c r="J398" s="936">
        <f t="shared" si="168"/>
        <v>0.34842006837924067</v>
      </c>
      <c r="K398" s="241">
        <f t="shared" si="164"/>
        <v>48814</v>
      </c>
      <c r="L398" s="236">
        <f t="shared" si="165"/>
        <v>48814</v>
      </c>
      <c r="M398" s="236"/>
      <c r="N398" s="236"/>
      <c r="O398" s="236"/>
      <c r="P398" s="236">
        <v>48814</v>
      </c>
      <c r="Q398" s="236"/>
      <c r="R398" s="236"/>
      <c r="S398" s="236"/>
      <c r="T398" s="236">
        <f t="shared" si="166"/>
        <v>0</v>
      </c>
      <c r="U398" s="236"/>
      <c r="V398" s="236"/>
      <c r="W398" s="236"/>
      <c r="X398" s="236"/>
      <c r="Y398" s="236"/>
      <c r="Z398" s="236"/>
      <c r="AA398" s="236"/>
      <c r="AB398" s="236"/>
      <c r="AC398" s="236"/>
      <c r="AD398" s="236"/>
      <c r="AE398" s="236"/>
    </row>
    <row r="399" spans="1:31" x14ac:dyDescent="0.2">
      <c r="A399" s="227"/>
      <c r="B399" s="227"/>
      <c r="C399" s="228" t="s">
        <v>424</v>
      </c>
      <c r="D399" s="229" t="s">
        <v>425</v>
      </c>
      <c r="E399" s="230" t="s">
        <v>509</v>
      </c>
      <c r="F399" s="231">
        <v>0</v>
      </c>
      <c r="G399" s="232">
        <f t="shared" si="167"/>
        <v>0</v>
      </c>
      <c r="H399" s="233">
        <v>9000</v>
      </c>
      <c r="I399" s="234">
        <f t="shared" si="163"/>
        <v>50000</v>
      </c>
      <c r="J399" s="936">
        <f t="shared" si="168"/>
        <v>5.5555555555555554</v>
      </c>
      <c r="K399" s="241">
        <f t="shared" si="164"/>
        <v>50000</v>
      </c>
      <c r="L399" s="236">
        <f t="shared" si="165"/>
        <v>50000</v>
      </c>
      <c r="M399" s="236"/>
      <c r="N399" s="236"/>
      <c r="O399" s="236"/>
      <c r="P399" s="236">
        <v>50000</v>
      </c>
      <c r="Q399" s="236"/>
      <c r="R399" s="236"/>
      <c r="S399" s="236"/>
      <c r="T399" s="236">
        <f t="shared" si="166"/>
        <v>0</v>
      </c>
      <c r="U399" s="236"/>
      <c r="V399" s="236"/>
      <c r="W399" s="236"/>
      <c r="X399" s="236"/>
      <c r="Y399" s="236"/>
      <c r="Z399" s="236"/>
      <c r="AA399" s="236"/>
      <c r="AB399" s="236"/>
      <c r="AC399" s="236"/>
      <c r="AD399" s="236"/>
      <c r="AE399" s="236"/>
    </row>
    <row r="400" spans="1:31" x14ac:dyDescent="0.2">
      <c r="A400" s="227"/>
      <c r="B400" s="227"/>
      <c r="C400" s="228" t="s">
        <v>413</v>
      </c>
      <c r="D400" s="229" t="s">
        <v>414</v>
      </c>
      <c r="E400" s="230" t="s">
        <v>799</v>
      </c>
      <c r="F400" s="231">
        <v>0</v>
      </c>
      <c r="G400" s="232">
        <f t="shared" si="167"/>
        <v>0</v>
      </c>
      <c r="H400" s="233">
        <v>19151</v>
      </c>
      <c r="I400" s="234">
        <f t="shared" si="163"/>
        <v>300000</v>
      </c>
      <c r="J400" s="936">
        <f t="shared" si="168"/>
        <v>15.664978330113311</v>
      </c>
      <c r="K400" s="241">
        <f t="shared" si="164"/>
        <v>300000</v>
      </c>
      <c r="L400" s="236">
        <f t="shared" si="165"/>
        <v>300000</v>
      </c>
      <c r="M400" s="236"/>
      <c r="N400" s="236"/>
      <c r="O400" s="236"/>
      <c r="P400" s="236">
        <v>300000</v>
      </c>
      <c r="Q400" s="236"/>
      <c r="R400" s="236"/>
      <c r="S400" s="236"/>
      <c r="T400" s="236">
        <f t="shared" si="166"/>
        <v>0</v>
      </c>
      <c r="U400" s="236"/>
      <c r="V400" s="236"/>
      <c r="W400" s="236"/>
      <c r="X400" s="236"/>
      <c r="Y400" s="236"/>
      <c r="Z400" s="236"/>
      <c r="AA400" s="236"/>
      <c r="AB400" s="236"/>
      <c r="AC400" s="236"/>
      <c r="AD400" s="236"/>
      <c r="AE400" s="236"/>
    </row>
    <row r="401" spans="1:31" x14ac:dyDescent="0.2">
      <c r="A401" s="227"/>
      <c r="B401" s="227"/>
      <c r="C401" s="228" t="s">
        <v>451</v>
      </c>
      <c r="D401" s="229" t="s">
        <v>452</v>
      </c>
      <c r="E401" s="230">
        <v>0</v>
      </c>
      <c r="F401" s="231">
        <v>0</v>
      </c>
      <c r="G401" s="232">
        <v>0</v>
      </c>
      <c r="H401" s="233">
        <v>0</v>
      </c>
      <c r="I401" s="234">
        <f t="shared" si="163"/>
        <v>2000</v>
      </c>
      <c r="J401" s="936">
        <v>0</v>
      </c>
      <c r="K401" s="241">
        <f t="shared" si="164"/>
        <v>2000</v>
      </c>
      <c r="L401" s="236">
        <f t="shared" si="165"/>
        <v>2000</v>
      </c>
      <c r="M401" s="236"/>
      <c r="N401" s="236"/>
      <c r="O401" s="236"/>
      <c r="P401" s="236">
        <v>2000</v>
      </c>
      <c r="Q401" s="236"/>
      <c r="R401" s="236"/>
      <c r="S401" s="236"/>
      <c r="T401" s="236"/>
      <c r="U401" s="236"/>
      <c r="V401" s="236"/>
      <c r="W401" s="236"/>
      <c r="X401" s="236"/>
      <c r="Y401" s="236"/>
      <c r="Z401" s="236"/>
      <c r="AA401" s="236"/>
      <c r="AB401" s="236"/>
      <c r="AC401" s="236"/>
      <c r="AD401" s="236"/>
      <c r="AE401" s="236"/>
    </row>
    <row r="402" spans="1:31" x14ac:dyDescent="0.2">
      <c r="A402" s="227"/>
      <c r="B402" s="227"/>
      <c r="C402" s="228" t="s">
        <v>533</v>
      </c>
      <c r="D402" s="229" t="s">
        <v>534</v>
      </c>
      <c r="E402" s="230">
        <v>0</v>
      </c>
      <c r="F402" s="231">
        <v>0</v>
      </c>
      <c r="G402" s="232">
        <v>0</v>
      </c>
      <c r="H402" s="233">
        <v>0</v>
      </c>
      <c r="I402" s="234">
        <f t="shared" si="163"/>
        <v>2000</v>
      </c>
      <c r="J402" s="936">
        <v>0</v>
      </c>
      <c r="K402" s="241">
        <f t="shared" si="164"/>
        <v>2000</v>
      </c>
      <c r="L402" s="236">
        <f t="shared" si="165"/>
        <v>2000</v>
      </c>
      <c r="M402" s="236"/>
      <c r="N402" s="236"/>
      <c r="O402" s="236"/>
      <c r="P402" s="236">
        <v>2000</v>
      </c>
      <c r="Q402" s="236"/>
      <c r="R402" s="236"/>
      <c r="S402" s="236"/>
      <c r="T402" s="236"/>
      <c r="U402" s="236"/>
      <c r="V402" s="236"/>
      <c r="W402" s="236"/>
      <c r="X402" s="236"/>
      <c r="Y402" s="236"/>
      <c r="Z402" s="236"/>
      <c r="AA402" s="236"/>
      <c r="AB402" s="236"/>
      <c r="AC402" s="236"/>
      <c r="AD402" s="236"/>
      <c r="AE402" s="236"/>
    </row>
    <row r="403" spans="1:31" x14ac:dyDescent="0.2">
      <c r="A403" s="227"/>
      <c r="B403" s="227"/>
      <c r="C403" s="228" t="s">
        <v>537</v>
      </c>
      <c r="D403" s="229" t="s">
        <v>538</v>
      </c>
      <c r="E403" s="230">
        <v>0</v>
      </c>
      <c r="F403" s="231">
        <v>0</v>
      </c>
      <c r="G403" s="232">
        <v>0</v>
      </c>
      <c r="H403" s="233">
        <v>0</v>
      </c>
      <c r="I403" s="234">
        <f t="shared" si="163"/>
        <v>4743</v>
      </c>
      <c r="J403" s="936">
        <v>0</v>
      </c>
      <c r="K403" s="241">
        <f t="shared" si="164"/>
        <v>4743</v>
      </c>
      <c r="L403" s="236">
        <f t="shared" si="165"/>
        <v>4743</v>
      </c>
      <c r="M403" s="236"/>
      <c r="N403" s="236"/>
      <c r="O403" s="236"/>
      <c r="P403" s="236">
        <v>4743</v>
      </c>
      <c r="Q403" s="236"/>
      <c r="R403" s="236"/>
      <c r="S403" s="236"/>
      <c r="T403" s="236"/>
      <c r="U403" s="236"/>
      <c r="V403" s="236"/>
      <c r="W403" s="236"/>
      <c r="X403" s="236"/>
      <c r="Y403" s="236"/>
      <c r="Z403" s="236"/>
      <c r="AA403" s="236"/>
      <c r="AB403" s="236"/>
      <c r="AC403" s="236"/>
      <c r="AD403" s="236"/>
      <c r="AE403" s="236"/>
    </row>
    <row r="404" spans="1:31" x14ac:dyDescent="0.2">
      <c r="A404" s="227"/>
      <c r="B404" s="227"/>
      <c r="C404" s="228" t="s">
        <v>443</v>
      </c>
      <c r="D404" s="229" t="s">
        <v>444</v>
      </c>
      <c r="E404" s="230" t="s">
        <v>800</v>
      </c>
      <c r="F404" s="231">
        <v>248000</v>
      </c>
      <c r="G404" s="232">
        <f t="shared" si="167"/>
        <v>0.24175074328605548</v>
      </c>
      <c r="H404" s="233">
        <v>1025850</v>
      </c>
      <c r="I404" s="234">
        <f t="shared" si="163"/>
        <v>0</v>
      </c>
      <c r="J404" s="936">
        <f t="shared" si="168"/>
        <v>0</v>
      </c>
      <c r="K404" s="241">
        <f t="shared" si="164"/>
        <v>0</v>
      </c>
      <c r="L404" s="236">
        <f t="shared" si="165"/>
        <v>0</v>
      </c>
      <c r="M404" s="236"/>
      <c r="N404" s="236"/>
      <c r="O404" s="236"/>
      <c r="P404" s="236">
        <v>0</v>
      </c>
      <c r="Q404" s="236"/>
      <c r="R404" s="236"/>
      <c r="S404" s="236"/>
      <c r="T404" s="236">
        <f t="shared" si="166"/>
        <v>0</v>
      </c>
      <c r="U404" s="236"/>
      <c r="V404" s="236"/>
      <c r="W404" s="236"/>
      <c r="X404" s="236"/>
      <c r="Y404" s="236"/>
      <c r="Z404" s="236"/>
      <c r="AA404" s="236"/>
      <c r="AB404" s="236"/>
      <c r="AC404" s="236"/>
      <c r="AD404" s="236"/>
      <c r="AE404" s="236"/>
    </row>
    <row r="405" spans="1:31" ht="22.5" x14ac:dyDescent="0.2">
      <c r="A405" s="219"/>
      <c r="B405" s="220" t="s">
        <v>801</v>
      </c>
      <c r="C405" s="221"/>
      <c r="D405" s="222" t="s">
        <v>802</v>
      </c>
      <c r="E405" s="223">
        <f>E406+E407</f>
        <v>5000</v>
      </c>
      <c r="F405" s="223">
        <f t="shared" ref="F405:AE405" si="169">F406+F407</f>
        <v>0</v>
      </c>
      <c r="G405" s="238">
        <f t="shared" si="167"/>
        <v>0</v>
      </c>
      <c r="H405" s="223">
        <f t="shared" si="169"/>
        <v>5000</v>
      </c>
      <c r="I405" s="225">
        <f t="shared" si="169"/>
        <v>5000</v>
      </c>
      <c r="J405" s="937">
        <f t="shared" si="168"/>
        <v>1</v>
      </c>
      <c r="K405" s="925">
        <f t="shared" si="169"/>
        <v>5000</v>
      </c>
      <c r="L405" s="223">
        <f t="shared" si="169"/>
        <v>0</v>
      </c>
      <c r="M405" s="223">
        <f t="shared" si="169"/>
        <v>0</v>
      </c>
      <c r="N405" s="223">
        <f t="shared" si="169"/>
        <v>0</v>
      </c>
      <c r="O405" s="223">
        <f t="shared" si="169"/>
        <v>0</v>
      </c>
      <c r="P405" s="223">
        <f t="shared" si="169"/>
        <v>0</v>
      </c>
      <c r="Q405" s="223">
        <f t="shared" si="169"/>
        <v>0</v>
      </c>
      <c r="R405" s="226">
        <f>R406+R407</f>
        <v>0</v>
      </c>
      <c r="S405" s="223">
        <f t="shared" si="169"/>
        <v>5000</v>
      </c>
      <c r="T405" s="223">
        <f t="shared" si="169"/>
        <v>0</v>
      </c>
      <c r="U405" s="223">
        <f t="shared" si="169"/>
        <v>0</v>
      </c>
      <c r="V405" s="223">
        <f t="shared" si="169"/>
        <v>0</v>
      </c>
      <c r="W405" s="223">
        <f t="shared" si="169"/>
        <v>0</v>
      </c>
      <c r="X405" s="223">
        <f t="shared" si="169"/>
        <v>0</v>
      </c>
      <c r="Y405" s="223">
        <f t="shared" si="169"/>
        <v>0</v>
      </c>
      <c r="Z405" s="223">
        <f t="shared" si="169"/>
        <v>0</v>
      </c>
      <c r="AA405" s="223">
        <f t="shared" si="169"/>
        <v>0</v>
      </c>
      <c r="AB405" s="223">
        <f t="shared" si="169"/>
        <v>0</v>
      </c>
      <c r="AC405" s="223">
        <f t="shared" si="169"/>
        <v>0</v>
      </c>
      <c r="AD405" s="223">
        <f t="shared" si="169"/>
        <v>0</v>
      </c>
      <c r="AE405" s="223">
        <f t="shared" si="169"/>
        <v>0</v>
      </c>
    </row>
    <row r="406" spans="1:31" x14ac:dyDescent="0.2">
      <c r="A406" s="227"/>
      <c r="B406" s="227"/>
      <c r="C406" s="228" t="s">
        <v>410</v>
      </c>
      <c r="D406" s="229" t="s">
        <v>411</v>
      </c>
      <c r="E406" s="230" t="s">
        <v>113</v>
      </c>
      <c r="F406" s="231">
        <v>0</v>
      </c>
      <c r="G406" s="232">
        <f t="shared" si="167"/>
        <v>0</v>
      </c>
      <c r="H406" s="233">
        <v>1000</v>
      </c>
      <c r="I406" s="234">
        <f>K406</f>
        <v>1000</v>
      </c>
      <c r="J406" s="936">
        <f t="shared" si="168"/>
        <v>1</v>
      </c>
      <c r="K406" s="241">
        <f>L406+S406+T406</f>
        <v>1000</v>
      </c>
      <c r="L406" s="236">
        <f>SUM(M406:R406)</f>
        <v>0</v>
      </c>
      <c r="M406" s="236"/>
      <c r="N406" s="236"/>
      <c r="O406" s="236"/>
      <c r="P406" s="236"/>
      <c r="Q406" s="236"/>
      <c r="R406" s="236"/>
      <c r="S406" s="236">
        <v>1000</v>
      </c>
      <c r="T406" s="236">
        <f>SUM(U406:AD406)</f>
        <v>0</v>
      </c>
      <c r="U406" s="236"/>
      <c r="V406" s="236"/>
      <c r="W406" s="236"/>
      <c r="X406" s="236"/>
      <c r="Y406" s="236"/>
      <c r="Z406" s="236"/>
      <c r="AA406" s="236"/>
      <c r="AB406" s="236"/>
      <c r="AC406" s="236"/>
      <c r="AD406" s="236"/>
      <c r="AE406" s="236"/>
    </row>
    <row r="407" spans="1:31" x14ac:dyDescent="0.2">
      <c r="A407" s="227"/>
      <c r="B407" s="227"/>
      <c r="C407" s="228" t="s">
        <v>413</v>
      </c>
      <c r="D407" s="229" t="s">
        <v>414</v>
      </c>
      <c r="E407" s="230" t="s">
        <v>351</v>
      </c>
      <c r="F407" s="231">
        <v>0</v>
      </c>
      <c r="G407" s="232">
        <f t="shared" si="167"/>
        <v>0</v>
      </c>
      <c r="H407" s="233">
        <v>4000</v>
      </c>
      <c r="I407" s="234">
        <f>K407</f>
        <v>4000</v>
      </c>
      <c r="J407" s="936">
        <f t="shared" si="168"/>
        <v>1</v>
      </c>
      <c r="K407" s="241">
        <f>L407+S407+T407</f>
        <v>4000</v>
      </c>
      <c r="L407" s="236">
        <f>SUM(M407:R407)</f>
        <v>0</v>
      </c>
      <c r="M407" s="236"/>
      <c r="N407" s="236"/>
      <c r="O407" s="236"/>
      <c r="P407" s="236"/>
      <c r="Q407" s="236"/>
      <c r="R407" s="236"/>
      <c r="S407" s="236">
        <v>4000</v>
      </c>
      <c r="T407" s="236">
        <f>SUM(U407:AD407)</f>
        <v>0</v>
      </c>
      <c r="U407" s="236"/>
      <c r="V407" s="236"/>
      <c r="W407" s="236"/>
      <c r="X407" s="236"/>
      <c r="Y407" s="236"/>
      <c r="Z407" s="236"/>
      <c r="AA407" s="236"/>
      <c r="AB407" s="236"/>
      <c r="AC407" s="236"/>
      <c r="AD407" s="236"/>
      <c r="AE407" s="236"/>
    </row>
    <row r="408" spans="1:31" ht="56.25" x14ac:dyDescent="0.2">
      <c r="A408" s="219"/>
      <c r="B408" s="220" t="s">
        <v>287</v>
      </c>
      <c r="C408" s="221"/>
      <c r="D408" s="222" t="s">
        <v>288</v>
      </c>
      <c r="E408" s="223">
        <f>E409+E410</f>
        <v>112851</v>
      </c>
      <c r="F408" s="239">
        <f t="shared" ref="F408:AE408" si="170">F409+F410</f>
        <v>82705.94</v>
      </c>
      <c r="G408" s="238">
        <f t="shared" si="167"/>
        <v>0.73287733382956288</v>
      </c>
      <c r="H408" s="239">
        <f t="shared" si="170"/>
        <v>112601</v>
      </c>
      <c r="I408" s="240">
        <f t="shared" si="170"/>
        <v>53168</v>
      </c>
      <c r="J408" s="937">
        <f t="shared" si="168"/>
        <v>0.4711345047895012</v>
      </c>
      <c r="K408" s="925">
        <f t="shared" si="170"/>
        <v>53168</v>
      </c>
      <c r="L408" s="223">
        <f t="shared" si="170"/>
        <v>250</v>
      </c>
      <c r="M408" s="223">
        <f t="shared" si="170"/>
        <v>0</v>
      </c>
      <c r="N408" s="223">
        <f t="shared" si="170"/>
        <v>0</v>
      </c>
      <c r="O408" s="223">
        <f t="shared" si="170"/>
        <v>0</v>
      </c>
      <c r="P408" s="223">
        <f t="shared" si="170"/>
        <v>250</v>
      </c>
      <c r="Q408" s="223">
        <f t="shared" si="170"/>
        <v>0</v>
      </c>
      <c r="R408" s="226">
        <f>R409+R410</f>
        <v>0</v>
      </c>
      <c r="S408" s="223">
        <f t="shared" si="170"/>
        <v>52918</v>
      </c>
      <c r="T408" s="223">
        <f t="shared" si="170"/>
        <v>0</v>
      </c>
      <c r="U408" s="223">
        <f t="shared" si="170"/>
        <v>0</v>
      </c>
      <c r="V408" s="223">
        <f t="shared" si="170"/>
        <v>0</v>
      </c>
      <c r="W408" s="223">
        <f t="shared" si="170"/>
        <v>0</v>
      </c>
      <c r="X408" s="223">
        <f t="shared" si="170"/>
        <v>0</v>
      </c>
      <c r="Y408" s="223">
        <f t="shared" si="170"/>
        <v>0</v>
      </c>
      <c r="Z408" s="223">
        <f t="shared" si="170"/>
        <v>0</v>
      </c>
      <c r="AA408" s="223">
        <f t="shared" si="170"/>
        <v>0</v>
      </c>
      <c r="AB408" s="223">
        <f t="shared" si="170"/>
        <v>0</v>
      </c>
      <c r="AC408" s="223">
        <f t="shared" si="170"/>
        <v>0</v>
      </c>
      <c r="AD408" s="223">
        <f t="shared" si="170"/>
        <v>0</v>
      </c>
      <c r="AE408" s="223">
        <f t="shared" si="170"/>
        <v>0</v>
      </c>
    </row>
    <row r="409" spans="1:31" ht="45" x14ac:dyDescent="0.2">
      <c r="A409" s="227"/>
      <c r="B409" s="227"/>
      <c r="C409" s="228" t="s">
        <v>277</v>
      </c>
      <c r="D409" s="229" t="s">
        <v>803</v>
      </c>
      <c r="E409" s="230" t="s">
        <v>291</v>
      </c>
      <c r="F409" s="231">
        <v>0</v>
      </c>
      <c r="G409" s="232">
        <f t="shared" si="167"/>
        <v>0</v>
      </c>
      <c r="H409" s="233">
        <v>0</v>
      </c>
      <c r="I409" s="234">
        <f>K409</f>
        <v>250</v>
      </c>
      <c r="J409" s="936">
        <f t="shared" si="168"/>
        <v>1</v>
      </c>
      <c r="K409" s="241">
        <f>L409+S409+T409</f>
        <v>250</v>
      </c>
      <c r="L409" s="236">
        <f>SUM(M409:R409)</f>
        <v>250</v>
      </c>
      <c r="M409" s="236"/>
      <c r="N409" s="236"/>
      <c r="O409" s="236"/>
      <c r="P409" s="236">
        <v>250</v>
      </c>
      <c r="Q409" s="236"/>
      <c r="R409" s="236"/>
      <c r="S409" s="236"/>
      <c r="T409" s="236">
        <f>SUM(U409:AD409)</f>
        <v>0</v>
      </c>
      <c r="U409" s="236"/>
      <c r="V409" s="236"/>
      <c r="W409" s="236"/>
      <c r="X409" s="236"/>
      <c r="Y409" s="236"/>
      <c r="Z409" s="236"/>
      <c r="AA409" s="236"/>
      <c r="AB409" s="236"/>
      <c r="AC409" s="236"/>
      <c r="AD409" s="236"/>
      <c r="AE409" s="236"/>
    </row>
    <row r="410" spans="1:31" x14ac:dyDescent="0.2">
      <c r="A410" s="227"/>
      <c r="B410" s="227"/>
      <c r="C410" s="228" t="s">
        <v>804</v>
      </c>
      <c r="D410" s="229" t="s">
        <v>805</v>
      </c>
      <c r="E410" s="230" t="s">
        <v>806</v>
      </c>
      <c r="F410" s="231">
        <v>82705.94</v>
      </c>
      <c r="G410" s="232">
        <f t="shared" si="167"/>
        <v>0.73450448930293699</v>
      </c>
      <c r="H410" s="233">
        <v>112601</v>
      </c>
      <c r="I410" s="234">
        <f>K410</f>
        <v>52918</v>
      </c>
      <c r="J410" s="936">
        <f t="shared" si="168"/>
        <v>0.46996030230637381</v>
      </c>
      <c r="K410" s="241">
        <f>L410+S410+T410</f>
        <v>52918</v>
      </c>
      <c r="L410" s="236">
        <f>SUM(M410:R410)</f>
        <v>0</v>
      </c>
      <c r="M410" s="236"/>
      <c r="N410" s="236"/>
      <c r="O410" s="236"/>
      <c r="P410" s="236"/>
      <c r="Q410" s="236"/>
      <c r="R410" s="236"/>
      <c r="S410" s="236">
        <v>52918</v>
      </c>
      <c r="T410" s="236">
        <f>SUM(U410:AD410)</f>
        <v>0</v>
      </c>
      <c r="U410" s="236"/>
      <c r="V410" s="236"/>
      <c r="W410" s="236"/>
      <c r="X410" s="236"/>
      <c r="Y410" s="236"/>
      <c r="Z410" s="236"/>
      <c r="AA410" s="236"/>
      <c r="AB410" s="236"/>
      <c r="AC410" s="236"/>
      <c r="AD410" s="236"/>
      <c r="AE410" s="236"/>
    </row>
    <row r="411" spans="1:31" ht="22.5" x14ac:dyDescent="0.2">
      <c r="A411" s="219"/>
      <c r="B411" s="220" t="s">
        <v>292</v>
      </c>
      <c r="C411" s="221"/>
      <c r="D411" s="222" t="s">
        <v>293</v>
      </c>
      <c r="E411" s="223" t="str">
        <f>E412</f>
        <v>436 560,00</v>
      </c>
      <c r="F411" s="239">
        <f t="shared" ref="F411:AE411" si="171">F412</f>
        <v>363350.08</v>
      </c>
      <c r="G411" s="238">
        <f t="shared" si="167"/>
        <v>0.83230273043796965</v>
      </c>
      <c r="H411" s="239">
        <f t="shared" si="171"/>
        <v>436560</v>
      </c>
      <c r="I411" s="240">
        <f t="shared" si="171"/>
        <v>459321</v>
      </c>
      <c r="J411" s="937">
        <f t="shared" si="168"/>
        <v>1.0521371632765255</v>
      </c>
      <c r="K411" s="925">
        <f t="shared" si="171"/>
        <v>459321</v>
      </c>
      <c r="L411" s="223">
        <f t="shared" si="171"/>
        <v>0</v>
      </c>
      <c r="M411" s="223">
        <f t="shared" si="171"/>
        <v>0</v>
      </c>
      <c r="N411" s="223">
        <f t="shared" si="171"/>
        <v>0</v>
      </c>
      <c r="O411" s="223">
        <f t="shared" si="171"/>
        <v>0</v>
      </c>
      <c r="P411" s="223">
        <f t="shared" si="171"/>
        <v>0</v>
      </c>
      <c r="Q411" s="223">
        <f t="shared" si="171"/>
        <v>0</v>
      </c>
      <c r="R411" s="226">
        <f>R412</f>
        <v>0</v>
      </c>
      <c r="S411" s="223">
        <f t="shared" si="171"/>
        <v>459321</v>
      </c>
      <c r="T411" s="223">
        <f t="shared" si="171"/>
        <v>0</v>
      </c>
      <c r="U411" s="223">
        <f t="shared" si="171"/>
        <v>0</v>
      </c>
      <c r="V411" s="223">
        <f t="shared" si="171"/>
        <v>0</v>
      </c>
      <c r="W411" s="223">
        <f t="shared" si="171"/>
        <v>0</v>
      </c>
      <c r="X411" s="223">
        <f t="shared" si="171"/>
        <v>0</v>
      </c>
      <c r="Y411" s="223">
        <f t="shared" si="171"/>
        <v>0</v>
      </c>
      <c r="Z411" s="223">
        <f t="shared" si="171"/>
        <v>0</v>
      </c>
      <c r="AA411" s="223">
        <f t="shared" si="171"/>
        <v>0</v>
      </c>
      <c r="AB411" s="223">
        <f t="shared" si="171"/>
        <v>0</v>
      </c>
      <c r="AC411" s="223">
        <f t="shared" si="171"/>
        <v>0</v>
      </c>
      <c r="AD411" s="223">
        <f t="shared" si="171"/>
        <v>0</v>
      </c>
      <c r="AE411" s="223">
        <f t="shared" si="171"/>
        <v>0</v>
      </c>
    </row>
    <row r="412" spans="1:31" x14ac:dyDescent="0.2">
      <c r="A412" s="227"/>
      <c r="B412" s="227"/>
      <c r="C412" s="228" t="s">
        <v>807</v>
      </c>
      <c r="D412" s="229" t="s">
        <v>808</v>
      </c>
      <c r="E412" s="230" t="s">
        <v>809</v>
      </c>
      <c r="F412" s="231">
        <v>363350.08</v>
      </c>
      <c r="G412" s="232">
        <f t="shared" si="167"/>
        <v>0.83230273043796965</v>
      </c>
      <c r="H412" s="233">
        <v>436560</v>
      </c>
      <c r="I412" s="234">
        <f>K412</f>
        <v>459321</v>
      </c>
      <c r="J412" s="936">
        <f t="shared" si="168"/>
        <v>1.0521371632765255</v>
      </c>
      <c r="K412" s="241">
        <f>L412+S412+T412</f>
        <v>459321</v>
      </c>
      <c r="L412" s="236">
        <f>SUM(M412:R412)</f>
        <v>0</v>
      </c>
      <c r="M412" s="236"/>
      <c r="N412" s="236"/>
      <c r="O412" s="236"/>
      <c r="P412" s="236"/>
      <c r="Q412" s="236"/>
      <c r="R412" s="236"/>
      <c r="S412" s="236">
        <v>459321</v>
      </c>
      <c r="T412" s="236">
        <f>SUM(U412:AD412)</f>
        <v>0</v>
      </c>
      <c r="U412" s="236"/>
      <c r="V412" s="236"/>
      <c r="W412" s="236"/>
      <c r="X412" s="236"/>
      <c r="Y412" s="236"/>
      <c r="Z412" s="236"/>
      <c r="AA412" s="236"/>
      <c r="AB412" s="236"/>
      <c r="AC412" s="236"/>
      <c r="AD412" s="236"/>
      <c r="AE412" s="236"/>
    </row>
    <row r="413" spans="1:31" ht="15" x14ac:dyDescent="0.2">
      <c r="A413" s="219"/>
      <c r="B413" s="220" t="s">
        <v>295</v>
      </c>
      <c r="C413" s="221"/>
      <c r="D413" s="222" t="s">
        <v>296</v>
      </c>
      <c r="E413" s="223">
        <f>E414+E415</f>
        <v>383500</v>
      </c>
      <c r="F413" s="239">
        <f t="shared" ref="F413:AE413" si="172">F414+F415</f>
        <v>262387.96000000002</v>
      </c>
      <c r="G413" s="238">
        <f t="shared" si="167"/>
        <v>0.68419285528031293</v>
      </c>
      <c r="H413" s="239">
        <f t="shared" si="172"/>
        <v>358861.65</v>
      </c>
      <c r="I413" s="240">
        <f t="shared" si="172"/>
        <v>380000</v>
      </c>
      <c r="J413" s="937">
        <f t="shared" si="168"/>
        <v>0.99087353324641458</v>
      </c>
      <c r="K413" s="925">
        <f t="shared" si="172"/>
        <v>380000</v>
      </c>
      <c r="L413" s="223">
        <f t="shared" si="172"/>
        <v>380000</v>
      </c>
      <c r="M413" s="223">
        <f t="shared" si="172"/>
        <v>380000</v>
      </c>
      <c r="N413" s="223">
        <f t="shared" si="172"/>
        <v>0</v>
      </c>
      <c r="O413" s="223">
        <f t="shared" si="172"/>
        <v>0</v>
      </c>
      <c r="P413" s="223">
        <f t="shared" si="172"/>
        <v>0</v>
      </c>
      <c r="Q413" s="223">
        <f t="shared" si="172"/>
        <v>0</v>
      </c>
      <c r="R413" s="226">
        <f>R414+R415</f>
        <v>0</v>
      </c>
      <c r="S413" s="223">
        <f t="shared" si="172"/>
        <v>0</v>
      </c>
      <c r="T413" s="223">
        <f t="shared" si="172"/>
        <v>0</v>
      </c>
      <c r="U413" s="223">
        <f t="shared" si="172"/>
        <v>0</v>
      </c>
      <c r="V413" s="223">
        <f t="shared" si="172"/>
        <v>0</v>
      </c>
      <c r="W413" s="223">
        <f t="shared" si="172"/>
        <v>0</v>
      </c>
      <c r="X413" s="223">
        <f t="shared" si="172"/>
        <v>0</v>
      </c>
      <c r="Y413" s="223">
        <f t="shared" si="172"/>
        <v>0</v>
      </c>
      <c r="Z413" s="223">
        <f t="shared" si="172"/>
        <v>0</v>
      </c>
      <c r="AA413" s="223">
        <f t="shared" si="172"/>
        <v>0</v>
      </c>
      <c r="AB413" s="223">
        <f t="shared" si="172"/>
        <v>0</v>
      </c>
      <c r="AC413" s="223">
        <f t="shared" si="172"/>
        <v>0</v>
      </c>
      <c r="AD413" s="223">
        <f t="shared" si="172"/>
        <v>0</v>
      </c>
      <c r="AE413" s="223">
        <f t="shared" si="172"/>
        <v>0</v>
      </c>
    </row>
    <row r="414" spans="1:31" x14ac:dyDescent="0.2">
      <c r="A414" s="227"/>
      <c r="B414" s="227"/>
      <c r="C414" s="228" t="s">
        <v>807</v>
      </c>
      <c r="D414" s="229" t="s">
        <v>808</v>
      </c>
      <c r="E414" s="230" t="s">
        <v>810</v>
      </c>
      <c r="F414" s="278">
        <v>262387.96000000002</v>
      </c>
      <c r="G414" s="279">
        <f t="shared" si="167"/>
        <v>0.68466544404091811</v>
      </c>
      <c r="H414" s="280">
        <v>358596.94</v>
      </c>
      <c r="I414" s="281">
        <f>K414</f>
        <v>380000</v>
      </c>
      <c r="J414" s="936">
        <f t="shared" si="168"/>
        <v>0.99155795386171253</v>
      </c>
      <c r="K414" s="241">
        <f>L414+S414+T414</f>
        <v>380000</v>
      </c>
      <c r="L414" s="236">
        <f>SUM(M414:R414)</f>
        <v>380000</v>
      </c>
      <c r="M414" s="236">
        <v>380000</v>
      </c>
      <c r="N414" s="236"/>
      <c r="O414" s="236"/>
      <c r="P414" s="236"/>
      <c r="Q414" s="236"/>
      <c r="R414" s="236"/>
      <c r="S414" s="236"/>
      <c r="T414" s="236">
        <f>SUM(U414:AD414)</f>
        <v>0</v>
      </c>
      <c r="U414" s="236"/>
      <c r="V414" s="236"/>
      <c r="W414" s="236"/>
      <c r="X414" s="236"/>
      <c r="Y414" s="236"/>
      <c r="Z414" s="236"/>
      <c r="AA414" s="236"/>
      <c r="AB414" s="236"/>
      <c r="AC414" s="236"/>
      <c r="AD414" s="236"/>
      <c r="AE414" s="236"/>
    </row>
    <row r="415" spans="1:31" x14ac:dyDescent="0.2">
      <c r="A415" s="227"/>
      <c r="B415" s="227"/>
      <c r="C415" s="228" t="s">
        <v>410</v>
      </c>
      <c r="D415" s="229" t="s">
        <v>411</v>
      </c>
      <c r="E415" s="230" t="s">
        <v>811</v>
      </c>
      <c r="F415" s="278">
        <v>0</v>
      </c>
      <c r="G415" s="279">
        <f t="shared" si="167"/>
        <v>0</v>
      </c>
      <c r="H415" s="280">
        <v>264.70999999999998</v>
      </c>
      <c r="I415" s="281">
        <f>K415</f>
        <v>0</v>
      </c>
      <c r="J415" s="936">
        <f t="shared" si="168"/>
        <v>0</v>
      </c>
      <c r="K415" s="241">
        <f>L415+S415+T415</f>
        <v>0</v>
      </c>
      <c r="L415" s="236">
        <f>SUM(M415:R415)</f>
        <v>0</v>
      </c>
      <c r="M415" s="236"/>
      <c r="N415" s="236"/>
      <c r="O415" s="236"/>
      <c r="P415" s="236"/>
      <c r="Q415" s="236"/>
      <c r="R415" s="236"/>
      <c r="S415" s="236"/>
      <c r="T415" s="236">
        <f>SUM(U415:AD415)</f>
        <v>0</v>
      </c>
      <c r="U415" s="236"/>
      <c r="V415" s="236"/>
      <c r="W415" s="236"/>
      <c r="X415" s="236"/>
      <c r="Y415" s="236"/>
      <c r="Z415" s="236"/>
      <c r="AA415" s="236"/>
      <c r="AB415" s="236"/>
      <c r="AC415" s="236"/>
      <c r="AD415" s="236"/>
      <c r="AE415" s="236"/>
    </row>
    <row r="416" spans="1:31" ht="15" x14ac:dyDescent="0.2">
      <c r="A416" s="219"/>
      <c r="B416" s="220" t="s">
        <v>298</v>
      </c>
      <c r="C416" s="221"/>
      <c r="D416" s="222" t="s">
        <v>299</v>
      </c>
      <c r="E416" s="223">
        <f>E417+E418</f>
        <v>374646</v>
      </c>
      <c r="F416" s="282">
        <f t="shared" ref="F416:AE416" si="173">F417+F418</f>
        <v>318963.21000000002</v>
      </c>
      <c r="G416" s="283">
        <f t="shared" si="167"/>
        <v>0.85137225540910622</v>
      </c>
      <c r="H416" s="282">
        <f t="shared" si="173"/>
        <v>374646</v>
      </c>
      <c r="I416" s="284">
        <f t="shared" si="173"/>
        <v>282971</v>
      </c>
      <c r="J416" s="937">
        <f t="shared" si="168"/>
        <v>0.75530233874110497</v>
      </c>
      <c r="K416" s="925">
        <f t="shared" si="173"/>
        <v>282971</v>
      </c>
      <c r="L416" s="223">
        <f t="shared" si="173"/>
        <v>700</v>
      </c>
      <c r="M416" s="223">
        <f t="shared" si="173"/>
        <v>0</v>
      </c>
      <c r="N416" s="223">
        <f t="shared" si="173"/>
        <v>0</v>
      </c>
      <c r="O416" s="223">
        <f t="shared" si="173"/>
        <v>0</v>
      </c>
      <c r="P416" s="223">
        <f t="shared" si="173"/>
        <v>700</v>
      </c>
      <c r="Q416" s="223">
        <f t="shared" si="173"/>
        <v>0</v>
      </c>
      <c r="R416" s="226">
        <f>R417+R418</f>
        <v>0</v>
      </c>
      <c r="S416" s="223">
        <f t="shared" si="173"/>
        <v>282271</v>
      </c>
      <c r="T416" s="223">
        <f t="shared" si="173"/>
        <v>0</v>
      </c>
      <c r="U416" s="223">
        <f t="shared" si="173"/>
        <v>0</v>
      </c>
      <c r="V416" s="223">
        <f t="shared" si="173"/>
        <v>0</v>
      </c>
      <c r="W416" s="223">
        <f t="shared" si="173"/>
        <v>0</v>
      </c>
      <c r="X416" s="223">
        <f t="shared" si="173"/>
        <v>0</v>
      </c>
      <c r="Y416" s="223">
        <f t="shared" si="173"/>
        <v>0</v>
      </c>
      <c r="Z416" s="223">
        <f t="shared" si="173"/>
        <v>0</v>
      </c>
      <c r="AA416" s="223">
        <f t="shared" si="173"/>
        <v>0</v>
      </c>
      <c r="AB416" s="223">
        <f t="shared" si="173"/>
        <v>0</v>
      </c>
      <c r="AC416" s="223">
        <f t="shared" si="173"/>
        <v>0</v>
      </c>
      <c r="AD416" s="223">
        <f t="shared" si="173"/>
        <v>0</v>
      </c>
      <c r="AE416" s="223">
        <f t="shared" si="173"/>
        <v>0</v>
      </c>
    </row>
    <row r="417" spans="1:31" ht="45" x14ac:dyDescent="0.2">
      <c r="A417" s="227"/>
      <c r="B417" s="227"/>
      <c r="C417" s="228" t="s">
        <v>277</v>
      </c>
      <c r="D417" s="229" t="s">
        <v>803</v>
      </c>
      <c r="E417" s="230" t="s">
        <v>301</v>
      </c>
      <c r="F417" s="278">
        <v>474.88</v>
      </c>
      <c r="G417" s="279">
        <f t="shared" si="167"/>
        <v>0.6784</v>
      </c>
      <c r="H417" s="280">
        <v>700</v>
      </c>
      <c r="I417" s="281">
        <f>K417</f>
        <v>700</v>
      </c>
      <c r="J417" s="936">
        <f t="shared" si="168"/>
        <v>1</v>
      </c>
      <c r="K417" s="241">
        <f>L417+S417+T417</f>
        <v>700</v>
      </c>
      <c r="L417" s="236">
        <f>SUM(M417:R417)</f>
        <v>700</v>
      </c>
      <c r="M417" s="242"/>
      <c r="N417" s="242"/>
      <c r="O417" s="236"/>
      <c r="P417" s="236">
        <v>700</v>
      </c>
      <c r="Q417" s="236"/>
      <c r="R417" s="242"/>
      <c r="S417" s="236"/>
      <c r="T417" s="236">
        <f>SUM(U417:AD417)</f>
        <v>0</v>
      </c>
      <c r="U417" s="236"/>
      <c r="V417" s="236"/>
      <c r="W417" s="236"/>
      <c r="X417" s="236"/>
      <c r="Y417" s="236"/>
      <c r="Z417" s="236"/>
      <c r="AA417" s="242"/>
      <c r="AB417" s="242"/>
      <c r="AC417" s="242"/>
      <c r="AD417" s="242"/>
      <c r="AE417" s="242"/>
    </row>
    <row r="418" spans="1:31" x14ac:dyDescent="0.2">
      <c r="A418" s="227"/>
      <c r="B418" s="227"/>
      <c r="C418" s="228" t="s">
        <v>807</v>
      </c>
      <c r="D418" s="229" t="s">
        <v>808</v>
      </c>
      <c r="E418" s="230" t="s">
        <v>812</v>
      </c>
      <c r="F418" s="278">
        <v>318488.33</v>
      </c>
      <c r="G418" s="279">
        <f t="shared" si="167"/>
        <v>0.85169604702283219</v>
      </c>
      <c r="H418" s="280">
        <v>373946</v>
      </c>
      <c r="I418" s="281">
        <f>K418</f>
        <v>282271</v>
      </c>
      <c r="J418" s="936">
        <f t="shared" si="168"/>
        <v>0.75484428232953427</v>
      </c>
      <c r="K418" s="241">
        <f>L418+S418+T418</f>
        <v>282271</v>
      </c>
      <c r="L418" s="236">
        <f>SUM(M418:R418)</f>
        <v>0</v>
      </c>
      <c r="M418" s="245"/>
      <c r="N418" s="245"/>
      <c r="O418" s="245"/>
      <c r="P418" s="245"/>
      <c r="Q418" s="245"/>
      <c r="R418" s="242"/>
      <c r="S418" s="236">
        <v>282271</v>
      </c>
      <c r="T418" s="236">
        <f>SUM(U418:AD418)</f>
        <v>0</v>
      </c>
      <c r="U418" s="242"/>
      <c r="V418" s="242"/>
      <c r="W418" s="242"/>
      <c r="X418" s="242"/>
      <c r="Y418" s="242"/>
      <c r="Z418" s="242"/>
      <c r="AA418" s="242"/>
      <c r="AB418" s="242"/>
      <c r="AC418" s="242"/>
      <c r="AD418" s="242"/>
      <c r="AE418" s="242"/>
    </row>
    <row r="419" spans="1:31" ht="15" x14ac:dyDescent="0.2">
      <c r="A419" s="219"/>
      <c r="B419" s="220" t="s">
        <v>302</v>
      </c>
      <c r="C419" s="221"/>
      <c r="D419" s="222" t="s">
        <v>303</v>
      </c>
      <c r="E419" s="223">
        <f>E420+E421+E422+E423+E424+E425+E426+E427+E428+E429+E430+E431+E432+E433+E434+E435+E436+E437</f>
        <v>1352060.9999999998</v>
      </c>
      <c r="F419" s="282">
        <f t="shared" ref="F419:AE419" si="174">F420+F421+F422+F423+F424+F425+F426+F427+F428+F429+F430+F431+F432+F433+F434+F435+F436+F437</f>
        <v>1042948.4300000002</v>
      </c>
      <c r="G419" s="283">
        <f t="shared" si="167"/>
        <v>0.7713767574096142</v>
      </c>
      <c r="H419" s="282">
        <f t="shared" si="174"/>
        <v>1348686.3199999998</v>
      </c>
      <c r="I419" s="284">
        <f t="shared" si="174"/>
        <v>1443150</v>
      </c>
      <c r="J419" s="937">
        <f t="shared" si="168"/>
        <v>1.0673704810655733</v>
      </c>
      <c r="K419" s="925">
        <f t="shared" si="174"/>
        <v>1443150</v>
      </c>
      <c r="L419" s="223">
        <f t="shared" si="174"/>
        <v>0</v>
      </c>
      <c r="M419" s="223">
        <f t="shared" si="174"/>
        <v>0</v>
      </c>
      <c r="N419" s="223">
        <f t="shared" si="174"/>
        <v>0</v>
      </c>
      <c r="O419" s="223">
        <f t="shared" si="174"/>
        <v>0</v>
      </c>
      <c r="P419" s="223">
        <f t="shared" si="174"/>
        <v>0</v>
      </c>
      <c r="Q419" s="223">
        <f t="shared" si="174"/>
        <v>0</v>
      </c>
      <c r="R419" s="226">
        <f>R420+R421+R422+R423+R424+R425+R426+R427+R428+R429+R430+R431+R432+R433+R434+R435+R436+R437</f>
        <v>0</v>
      </c>
      <c r="S419" s="223">
        <f t="shared" si="174"/>
        <v>1443150</v>
      </c>
      <c r="T419" s="223">
        <f t="shared" si="174"/>
        <v>0</v>
      </c>
      <c r="U419" s="223">
        <f t="shared" si="174"/>
        <v>0</v>
      </c>
      <c r="V419" s="223">
        <f t="shared" si="174"/>
        <v>0</v>
      </c>
      <c r="W419" s="223">
        <f t="shared" si="174"/>
        <v>0</v>
      </c>
      <c r="X419" s="223">
        <f t="shared" si="174"/>
        <v>0</v>
      </c>
      <c r="Y419" s="223">
        <f t="shared" si="174"/>
        <v>0</v>
      </c>
      <c r="Z419" s="223">
        <f t="shared" si="174"/>
        <v>0</v>
      </c>
      <c r="AA419" s="223">
        <f t="shared" si="174"/>
        <v>0</v>
      </c>
      <c r="AB419" s="223">
        <f t="shared" si="174"/>
        <v>0</v>
      </c>
      <c r="AC419" s="223">
        <f t="shared" si="174"/>
        <v>0</v>
      </c>
      <c r="AD419" s="223">
        <f t="shared" si="174"/>
        <v>0</v>
      </c>
      <c r="AE419" s="223">
        <f t="shared" si="174"/>
        <v>0</v>
      </c>
    </row>
    <row r="420" spans="1:31" x14ac:dyDescent="0.2">
      <c r="A420" s="227"/>
      <c r="B420" s="227"/>
      <c r="C420" s="228" t="s">
        <v>491</v>
      </c>
      <c r="D420" s="229" t="s">
        <v>492</v>
      </c>
      <c r="E420" s="230" t="s">
        <v>813</v>
      </c>
      <c r="F420" s="278">
        <v>2678.05</v>
      </c>
      <c r="G420" s="279">
        <f t="shared" si="167"/>
        <v>0.2536752865397367</v>
      </c>
      <c r="H420" s="230" t="s">
        <v>813</v>
      </c>
      <c r="I420" s="281">
        <f>K420</f>
        <v>12557</v>
      </c>
      <c r="J420" s="936">
        <f t="shared" si="168"/>
        <v>1.1894477597802406</v>
      </c>
      <c r="K420" s="241">
        <f>L420+S420+T420</f>
        <v>12557</v>
      </c>
      <c r="L420" s="236">
        <f>SUM(M420:R420)</f>
        <v>0</v>
      </c>
      <c r="M420" s="236"/>
      <c r="N420" s="236"/>
      <c r="O420" s="236"/>
      <c r="P420" s="236"/>
      <c r="Q420" s="236"/>
      <c r="R420" s="242"/>
      <c r="S420" s="236">
        <v>12557</v>
      </c>
      <c r="T420" s="236">
        <f>SUM(U420:AD420)</f>
        <v>0</v>
      </c>
      <c r="U420" s="242"/>
      <c r="V420" s="242"/>
      <c r="W420" s="242"/>
      <c r="X420" s="242"/>
      <c r="Y420" s="242"/>
      <c r="Z420" s="242"/>
      <c r="AA420" s="242"/>
      <c r="AB420" s="242"/>
      <c r="AC420" s="242"/>
      <c r="AD420" s="242"/>
      <c r="AE420" s="242"/>
    </row>
    <row r="421" spans="1:31" x14ac:dyDescent="0.2">
      <c r="A421" s="227"/>
      <c r="B421" s="227"/>
      <c r="C421" s="228" t="s">
        <v>401</v>
      </c>
      <c r="D421" s="229" t="s">
        <v>402</v>
      </c>
      <c r="E421" s="230" t="s">
        <v>814</v>
      </c>
      <c r="F421" s="278">
        <v>668201.66</v>
      </c>
      <c r="G421" s="279">
        <f t="shared" si="167"/>
        <v>0.81055570903888075</v>
      </c>
      <c r="H421" s="230" t="s">
        <v>814</v>
      </c>
      <c r="I421" s="281">
        <f t="shared" ref="I421:I437" si="175">K421</f>
        <v>867160</v>
      </c>
      <c r="J421" s="936">
        <f t="shared" si="168"/>
        <v>1.0519002431843043</v>
      </c>
      <c r="K421" s="241">
        <f t="shared" ref="K421:K437" si="176">L421+S421+T421</f>
        <v>867160</v>
      </c>
      <c r="L421" s="236">
        <f t="shared" ref="L421:L437" si="177">SUM(M421:R421)</f>
        <v>0</v>
      </c>
      <c r="M421" s="236"/>
      <c r="N421" s="236"/>
      <c r="O421" s="236"/>
      <c r="P421" s="236"/>
      <c r="Q421" s="236"/>
      <c r="R421" s="242"/>
      <c r="S421" s="236">
        <v>867160</v>
      </c>
      <c r="T421" s="236">
        <f t="shared" ref="T421:T437" si="178">SUM(U421:AD421)</f>
        <v>0</v>
      </c>
      <c r="U421" s="242"/>
      <c r="V421" s="242"/>
      <c r="W421" s="242"/>
      <c r="X421" s="242"/>
      <c r="Y421" s="242"/>
      <c r="Z421" s="242"/>
      <c r="AA421" s="242"/>
      <c r="AB421" s="242"/>
      <c r="AC421" s="242"/>
      <c r="AD421" s="242"/>
      <c r="AE421" s="242"/>
    </row>
    <row r="422" spans="1:31" x14ac:dyDescent="0.2">
      <c r="A422" s="227"/>
      <c r="B422" s="227"/>
      <c r="C422" s="228" t="s">
        <v>495</v>
      </c>
      <c r="D422" s="229" t="s">
        <v>496</v>
      </c>
      <c r="E422" s="230" t="s">
        <v>815</v>
      </c>
      <c r="F422" s="278">
        <v>64595.86</v>
      </c>
      <c r="G422" s="279">
        <f t="shared" si="167"/>
        <v>0.98777979967887453</v>
      </c>
      <c r="H422" s="230" t="s">
        <v>815</v>
      </c>
      <c r="I422" s="281">
        <f t="shared" si="175"/>
        <v>63230</v>
      </c>
      <c r="J422" s="936">
        <f t="shared" si="168"/>
        <v>0.96689349338634456</v>
      </c>
      <c r="K422" s="241">
        <f t="shared" si="176"/>
        <v>63230</v>
      </c>
      <c r="L422" s="236">
        <f t="shared" si="177"/>
        <v>0</v>
      </c>
      <c r="M422" s="236"/>
      <c r="N422" s="236"/>
      <c r="O422" s="236"/>
      <c r="P422" s="236"/>
      <c r="Q422" s="236"/>
      <c r="R422" s="242"/>
      <c r="S422" s="236">
        <v>63230</v>
      </c>
      <c r="T422" s="236">
        <f t="shared" si="178"/>
        <v>0</v>
      </c>
      <c r="U422" s="242"/>
      <c r="V422" s="242"/>
      <c r="W422" s="242"/>
      <c r="X422" s="242"/>
      <c r="Y422" s="242"/>
      <c r="Z422" s="242"/>
      <c r="AA422" s="242"/>
      <c r="AB422" s="242"/>
      <c r="AC422" s="242"/>
      <c r="AD422" s="242"/>
      <c r="AE422" s="242"/>
    </row>
    <row r="423" spans="1:31" x14ac:dyDescent="0.2">
      <c r="A423" s="227"/>
      <c r="B423" s="227"/>
      <c r="C423" s="228" t="s">
        <v>404</v>
      </c>
      <c r="D423" s="229" t="s">
        <v>405</v>
      </c>
      <c r="E423" s="230" t="s">
        <v>816</v>
      </c>
      <c r="F423" s="278">
        <v>109677.57</v>
      </c>
      <c r="G423" s="279">
        <f t="shared" si="167"/>
        <v>0.69878082089579352</v>
      </c>
      <c r="H423" s="230" t="s">
        <v>816</v>
      </c>
      <c r="I423" s="281">
        <f t="shared" si="175"/>
        <v>156138</v>
      </c>
      <c r="J423" s="936">
        <f t="shared" si="168"/>
        <v>0.99479082015609388</v>
      </c>
      <c r="K423" s="241">
        <f t="shared" si="176"/>
        <v>156138</v>
      </c>
      <c r="L423" s="236">
        <f t="shared" si="177"/>
        <v>0</v>
      </c>
      <c r="M423" s="236"/>
      <c r="N423" s="236"/>
      <c r="O423" s="236"/>
      <c r="P423" s="236"/>
      <c r="Q423" s="236"/>
      <c r="R423" s="242"/>
      <c r="S423" s="236">
        <v>156138</v>
      </c>
      <c r="T423" s="236">
        <f t="shared" si="178"/>
        <v>0</v>
      </c>
      <c r="U423" s="242"/>
      <c r="V423" s="242"/>
      <c r="W423" s="242"/>
      <c r="X423" s="242"/>
      <c r="Y423" s="242"/>
      <c r="Z423" s="242"/>
      <c r="AA423" s="242"/>
      <c r="AB423" s="242"/>
      <c r="AC423" s="242"/>
      <c r="AD423" s="242"/>
      <c r="AE423" s="242"/>
    </row>
    <row r="424" spans="1:31" x14ac:dyDescent="0.2">
      <c r="A424" s="227"/>
      <c r="B424" s="227"/>
      <c r="C424" s="228" t="s">
        <v>407</v>
      </c>
      <c r="D424" s="229" t="s">
        <v>408</v>
      </c>
      <c r="E424" s="230" t="s">
        <v>817</v>
      </c>
      <c r="F424" s="278">
        <v>11931.24</v>
      </c>
      <c r="G424" s="279">
        <f t="shared" si="167"/>
        <v>0.54167317393846726</v>
      </c>
      <c r="H424" s="230" t="s">
        <v>817</v>
      </c>
      <c r="I424" s="281">
        <f t="shared" si="175"/>
        <v>22145</v>
      </c>
      <c r="J424" s="936">
        <f t="shared" si="168"/>
        <v>1.0053734931882485</v>
      </c>
      <c r="K424" s="241">
        <f t="shared" si="176"/>
        <v>22145</v>
      </c>
      <c r="L424" s="236">
        <f t="shared" si="177"/>
        <v>0</v>
      </c>
      <c r="M424" s="236"/>
      <c r="N424" s="236"/>
      <c r="O424" s="236"/>
      <c r="P424" s="236"/>
      <c r="Q424" s="236"/>
      <c r="R424" s="242"/>
      <c r="S424" s="236">
        <v>22145</v>
      </c>
      <c r="T424" s="236">
        <f t="shared" si="178"/>
        <v>0</v>
      </c>
      <c r="U424" s="242"/>
      <c r="V424" s="242"/>
      <c r="W424" s="242"/>
      <c r="X424" s="242"/>
      <c r="Y424" s="242"/>
      <c r="Z424" s="242"/>
      <c r="AA424" s="242"/>
      <c r="AB424" s="242"/>
      <c r="AC424" s="242"/>
      <c r="AD424" s="242"/>
      <c r="AE424" s="242"/>
    </row>
    <row r="425" spans="1:31" ht="22.5" x14ac:dyDescent="0.2">
      <c r="A425" s="227"/>
      <c r="B425" s="227"/>
      <c r="C425" s="228" t="s">
        <v>517</v>
      </c>
      <c r="D425" s="229" t="s">
        <v>518</v>
      </c>
      <c r="E425" s="230" t="s">
        <v>453</v>
      </c>
      <c r="F425" s="278">
        <v>0</v>
      </c>
      <c r="G425" s="279">
        <f t="shared" si="167"/>
        <v>0</v>
      </c>
      <c r="H425" s="230">
        <v>0</v>
      </c>
      <c r="I425" s="281">
        <f t="shared" si="175"/>
        <v>5000</v>
      </c>
      <c r="J425" s="936">
        <f t="shared" si="168"/>
        <v>10</v>
      </c>
      <c r="K425" s="241">
        <f t="shared" si="176"/>
        <v>5000</v>
      </c>
      <c r="L425" s="236">
        <f t="shared" si="177"/>
        <v>0</v>
      </c>
      <c r="M425" s="236"/>
      <c r="N425" s="236"/>
      <c r="O425" s="236"/>
      <c r="P425" s="236"/>
      <c r="Q425" s="236"/>
      <c r="R425" s="242"/>
      <c r="S425" s="236">
        <v>5000</v>
      </c>
      <c r="T425" s="236">
        <f t="shared" si="178"/>
        <v>0</v>
      </c>
      <c r="U425" s="242"/>
      <c r="V425" s="242"/>
      <c r="W425" s="242"/>
      <c r="X425" s="242"/>
      <c r="Y425" s="242"/>
      <c r="Z425" s="242"/>
      <c r="AA425" s="242"/>
      <c r="AB425" s="242"/>
      <c r="AC425" s="242"/>
      <c r="AD425" s="242"/>
      <c r="AE425" s="242"/>
    </row>
    <row r="426" spans="1:31" x14ac:dyDescent="0.2">
      <c r="A426" s="227"/>
      <c r="B426" s="227"/>
      <c r="C426" s="228" t="s">
        <v>420</v>
      </c>
      <c r="D426" s="229" t="s">
        <v>421</v>
      </c>
      <c r="E426" s="230" t="s">
        <v>335</v>
      </c>
      <c r="F426" s="278">
        <v>600</v>
      </c>
      <c r="G426" s="279">
        <f t="shared" si="167"/>
        <v>0.12</v>
      </c>
      <c r="H426" s="230" t="s">
        <v>335</v>
      </c>
      <c r="I426" s="281">
        <f t="shared" si="175"/>
        <v>5000</v>
      </c>
      <c r="J426" s="936">
        <f t="shared" si="168"/>
        <v>1</v>
      </c>
      <c r="K426" s="241">
        <f t="shared" si="176"/>
        <v>5000</v>
      </c>
      <c r="L426" s="236">
        <f t="shared" si="177"/>
        <v>0</v>
      </c>
      <c r="M426" s="236"/>
      <c r="N426" s="236"/>
      <c r="O426" s="236"/>
      <c r="P426" s="236"/>
      <c r="Q426" s="236"/>
      <c r="R426" s="242"/>
      <c r="S426" s="236">
        <v>5000</v>
      </c>
      <c r="T426" s="236">
        <f t="shared" si="178"/>
        <v>0</v>
      </c>
      <c r="U426" s="242"/>
      <c r="V426" s="242"/>
      <c r="W426" s="242"/>
      <c r="X426" s="242"/>
      <c r="Y426" s="242"/>
      <c r="Z426" s="242"/>
      <c r="AA426" s="242"/>
      <c r="AB426" s="242"/>
      <c r="AC426" s="242"/>
      <c r="AD426" s="242"/>
      <c r="AE426" s="242"/>
    </row>
    <row r="427" spans="1:31" x14ac:dyDescent="0.2">
      <c r="A427" s="227"/>
      <c r="B427" s="227"/>
      <c r="C427" s="228" t="s">
        <v>410</v>
      </c>
      <c r="D427" s="229" t="s">
        <v>411</v>
      </c>
      <c r="E427" s="230" t="s">
        <v>785</v>
      </c>
      <c r="F427" s="278">
        <v>32138.66</v>
      </c>
      <c r="G427" s="279">
        <f t="shared" si="167"/>
        <v>0.66955541666666663</v>
      </c>
      <c r="H427" s="230" t="s">
        <v>785</v>
      </c>
      <c r="I427" s="281">
        <f t="shared" si="175"/>
        <v>77000</v>
      </c>
      <c r="J427" s="936">
        <f t="shared" si="168"/>
        <v>1.6041666666666667</v>
      </c>
      <c r="K427" s="241">
        <f t="shared" si="176"/>
        <v>77000</v>
      </c>
      <c r="L427" s="236">
        <f t="shared" si="177"/>
        <v>0</v>
      </c>
      <c r="M427" s="236"/>
      <c r="N427" s="236"/>
      <c r="O427" s="236"/>
      <c r="P427" s="236"/>
      <c r="Q427" s="236"/>
      <c r="R427" s="242"/>
      <c r="S427" s="236">
        <v>77000</v>
      </c>
      <c r="T427" s="236">
        <f t="shared" si="178"/>
        <v>0</v>
      </c>
      <c r="U427" s="242"/>
      <c r="V427" s="242"/>
      <c r="W427" s="242"/>
      <c r="X427" s="242"/>
      <c r="Y427" s="242"/>
      <c r="Z427" s="242"/>
      <c r="AA427" s="242"/>
      <c r="AB427" s="242"/>
      <c r="AC427" s="242"/>
      <c r="AD427" s="242"/>
      <c r="AE427" s="242"/>
    </row>
    <row r="428" spans="1:31" x14ac:dyDescent="0.2">
      <c r="A428" s="227"/>
      <c r="B428" s="227"/>
      <c r="C428" s="228" t="s">
        <v>424</v>
      </c>
      <c r="D428" s="229" t="s">
        <v>425</v>
      </c>
      <c r="E428" s="230" t="s">
        <v>818</v>
      </c>
      <c r="F428" s="278">
        <v>18483.89</v>
      </c>
      <c r="G428" s="279">
        <f t="shared" si="167"/>
        <v>0.56011787878787878</v>
      </c>
      <c r="H428" s="230" t="s">
        <v>818</v>
      </c>
      <c r="I428" s="281">
        <f t="shared" si="175"/>
        <v>38000</v>
      </c>
      <c r="J428" s="936">
        <f t="shared" si="168"/>
        <v>1.1515151515151516</v>
      </c>
      <c r="K428" s="241">
        <f t="shared" si="176"/>
        <v>38000</v>
      </c>
      <c r="L428" s="236">
        <f t="shared" si="177"/>
        <v>0</v>
      </c>
      <c r="M428" s="236"/>
      <c r="N428" s="236"/>
      <c r="O428" s="236"/>
      <c r="P428" s="236"/>
      <c r="Q428" s="236"/>
      <c r="R428" s="242"/>
      <c r="S428" s="236">
        <v>38000</v>
      </c>
      <c r="T428" s="236">
        <f t="shared" si="178"/>
        <v>0</v>
      </c>
      <c r="U428" s="242"/>
      <c r="V428" s="242"/>
      <c r="W428" s="242"/>
      <c r="X428" s="242"/>
      <c r="Y428" s="242"/>
      <c r="Z428" s="242"/>
      <c r="AA428" s="242"/>
      <c r="AB428" s="242"/>
      <c r="AC428" s="242"/>
      <c r="AD428" s="242"/>
      <c r="AE428" s="242"/>
    </row>
    <row r="429" spans="1:31" x14ac:dyDescent="0.2">
      <c r="A429" s="227"/>
      <c r="B429" s="227"/>
      <c r="C429" s="228" t="s">
        <v>438</v>
      </c>
      <c r="D429" s="229" t="s">
        <v>439</v>
      </c>
      <c r="E429" s="230" t="s">
        <v>465</v>
      </c>
      <c r="F429" s="278">
        <v>0</v>
      </c>
      <c r="G429" s="279">
        <f t="shared" si="167"/>
        <v>0</v>
      </c>
      <c r="H429" s="230">
        <v>0</v>
      </c>
      <c r="I429" s="281">
        <f t="shared" si="175"/>
        <v>1500</v>
      </c>
      <c r="J429" s="936">
        <f t="shared" si="168"/>
        <v>1</v>
      </c>
      <c r="K429" s="241">
        <f t="shared" si="176"/>
        <v>1500</v>
      </c>
      <c r="L429" s="236">
        <f t="shared" si="177"/>
        <v>0</v>
      </c>
      <c r="M429" s="236"/>
      <c r="N429" s="236"/>
      <c r="O429" s="236"/>
      <c r="P429" s="236"/>
      <c r="Q429" s="236"/>
      <c r="R429" s="242"/>
      <c r="S429" s="236">
        <v>1500</v>
      </c>
      <c r="T429" s="236">
        <f t="shared" si="178"/>
        <v>0</v>
      </c>
      <c r="U429" s="242"/>
      <c r="V429" s="242"/>
      <c r="W429" s="242"/>
      <c r="X429" s="242"/>
      <c r="Y429" s="242"/>
      <c r="Z429" s="242"/>
      <c r="AA429" s="242"/>
      <c r="AB429" s="242"/>
      <c r="AC429" s="242"/>
      <c r="AD429" s="242"/>
      <c r="AE429" s="242"/>
    </row>
    <row r="430" spans="1:31" x14ac:dyDescent="0.2">
      <c r="A430" s="227"/>
      <c r="B430" s="227"/>
      <c r="C430" s="228" t="s">
        <v>524</v>
      </c>
      <c r="D430" s="229" t="s">
        <v>525</v>
      </c>
      <c r="E430" s="230" t="s">
        <v>95</v>
      </c>
      <c r="F430" s="278">
        <v>1145</v>
      </c>
      <c r="G430" s="279">
        <f t="shared" si="167"/>
        <v>0.57250000000000001</v>
      </c>
      <c r="H430" s="230" t="s">
        <v>95</v>
      </c>
      <c r="I430" s="281">
        <f t="shared" si="175"/>
        <v>3000</v>
      </c>
      <c r="J430" s="936">
        <f t="shared" si="168"/>
        <v>1.5</v>
      </c>
      <c r="K430" s="241">
        <f t="shared" si="176"/>
        <v>3000</v>
      </c>
      <c r="L430" s="236">
        <f t="shared" si="177"/>
        <v>0</v>
      </c>
      <c r="M430" s="236"/>
      <c r="N430" s="236"/>
      <c r="O430" s="236"/>
      <c r="P430" s="236"/>
      <c r="Q430" s="236"/>
      <c r="R430" s="242"/>
      <c r="S430" s="236">
        <v>3000</v>
      </c>
      <c r="T430" s="236">
        <f t="shared" si="178"/>
        <v>0</v>
      </c>
      <c r="U430" s="242"/>
      <c r="V430" s="242"/>
      <c r="W430" s="242"/>
      <c r="X430" s="242"/>
      <c r="Y430" s="242"/>
      <c r="Z430" s="242"/>
      <c r="AA430" s="242"/>
      <c r="AB430" s="242"/>
      <c r="AC430" s="242"/>
      <c r="AD430" s="242"/>
      <c r="AE430" s="242"/>
    </row>
    <row r="431" spans="1:31" x14ac:dyDescent="0.2">
      <c r="A431" s="227"/>
      <c r="B431" s="227"/>
      <c r="C431" s="228" t="s">
        <v>413</v>
      </c>
      <c r="D431" s="229" t="s">
        <v>414</v>
      </c>
      <c r="E431" s="230" t="s">
        <v>819</v>
      </c>
      <c r="F431" s="231">
        <v>67955.33</v>
      </c>
      <c r="G431" s="232">
        <f t="shared" si="167"/>
        <v>0.68081280368682062</v>
      </c>
      <c r="H431" s="230" t="s">
        <v>819</v>
      </c>
      <c r="I431" s="281">
        <f t="shared" si="175"/>
        <v>105758</v>
      </c>
      <c r="J431" s="936">
        <f t="shared" si="168"/>
        <v>1.0595401492761609</v>
      </c>
      <c r="K431" s="241">
        <f t="shared" si="176"/>
        <v>105758</v>
      </c>
      <c r="L431" s="236">
        <f t="shared" si="177"/>
        <v>0</v>
      </c>
      <c r="M431" s="236"/>
      <c r="N431" s="236"/>
      <c r="O431" s="236"/>
      <c r="P431" s="236"/>
      <c r="Q431" s="236"/>
      <c r="R431" s="242"/>
      <c r="S431" s="236">
        <v>105758</v>
      </c>
      <c r="T431" s="236">
        <f t="shared" si="178"/>
        <v>0</v>
      </c>
      <c r="U431" s="242"/>
      <c r="V431" s="242"/>
      <c r="W431" s="242"/>
      <c r="X431" s="242"/>
      <c r="Y431" s="242"/>
      <c r="Z431" s="242"/>
      <c r="AA431" s="242"/>
      <c r="AB431" s="242"/>
      <c r="AC431" s="242"/>
      <c r="AD431" s="242"/>
      <c r="AE431" s="242"/>
    </row>
    <row r="432" spans="1:31" x14ac:dyDescent="0.2">
      <c r="A432" s="227"/>
      <c r="B432" s="227"/>
      <c r="C432" s="228" t="s">
        <v>451</v>
      </c>
      <c r="D432" s="229" t="s">
        <v>452</v>
      </c>
      <c r="E432" s="230" t="s">
        <v>178</v>
      </c>
      <c r="F432" s="231">
        <v>7763.77</v>
      </c>
      <c r="G432" s="232">
        <f t="shared" si="167"/>
        <v>0.70579727272727277</v>
      </c>
      <c r="H432" s="230" t="s">
        <v>178</v>
      </c>
      <c r="I432" s="281">
        <f t="shared" si="175"/>
        <v>11000</v>
      </c>
      <c r="J432" s="936">
        <f t="shared" si="168"/>
        <v>1</v>
      </c>
      <c r="K432" s="241">
        <f t="shared" si="176"/>
        <v>11000</v>
      </c>
      <c r="L432" s="236">
        <f t="shared" si="177"/>
        <v>0</v>
      </c>
      <c r="M432" s="236"/>
      <c r="N432" s="236"/>
      <c r="O432" s="236"/>
      <c r="P432" s="236"/>
      <c r="Q432" s="236"/>
      <c r="R432" s="242"/>
      <c r="S432" s="236">
        <v>11000</v>
      </c>
      <c r="T432" s="236">
        <f t="shared" si="178"/>
        <v>0</v>
      </c>
      <c r="U432" s="242"/>
      <c r="V432" s="242"/>
      <c r="W432" s="242"/>
      <c r="X432" s="242"/>
      <c r="Y432" s="242"/>
      <c r="Z432" s="242"/>
      <c r="AA432" s="242"/>
      <c r="AB432" s="242"/>
      <c r="AC432" s="242"/>
      <c r="AD432" s="242"/>
      <c r="AE432" s="242"/>
    </row>
    <row r="433" spans="1:31" ht="22.5" x14ac:dyDescent="0.2">
      <c r="A433" s="227"/>
      <c r="B433" s="227"/>
      <c r="C433" s="228" t="s">
        <v>530</v>
      </c>
      <c r="D433" s="229" t="s">
        <v>531</v>
      </c>
      <c r="E433" s="230" t="s">
        <v>820</v>
      </c>
      <c r="F433" s="231">
        <v>15300</v>
      </c>
      <c r="G433" s="232">
        <f t="shared" si="167"/>
        <v>0.75</v>
      </c>
      <c r="H433" s="230" t="s">
        <v>820</v>
      </c>
      <c r="I433" s="281">
        <f t="shared" si="175"/>
        <v>22000</v>
      </c>
      <c r="J433" s="936">
        <f t="shared" si="168"/>
        <v>1.0784313725490196</v>
      </c>
      <c r="K433" s="241">
        <f t="shared" si="176"/>
        <v>22000</v>
      </c>
      <c r="L433" s="236">
        <f t="shared" si="177"/>
        <v>0</v>
      </c>
      <c r="M433" s="236"/>
      <c r="N433" s="236"/>
      <c r="O433" s="236"/>
      <c r="P433" s="236"/>
      <c r="Q433" s="236"/>
      <c r="R433" s="242"/>
      <c r="S433" s="236">
        <v>22000</v>
      </c>
      <c r="T433" s="236">
        <f t="shared" si="178"/>
        <v>0</v>
      </c>
      <c r="U433" s="242"/>
      <c r="V433" s="242"/>
      <c r="W433" s="242"/>
      <c r="X433" s="242"/>
      <c r="Y433" s="242"/>
      <c r="Z433" s="242"/>
      <c r="AA433" s="242"/>
      <c r="AB433" s="242"/>
      <c r="AC433" s="242"/>
      <c r="AD433" s="242"/>
      <c r="AE433" s="242"/>
    </row>
    <row r="434" spans="1:31" x14ac:dyDescent="0.2">
      <c r="A434" s="227"/>
      <c r="B434" s="227"/>
      <c r="C434" s="228" t="s">
        <v>533</v>
      </c>
      <c r="D434" s="229" t="s">
        <v>534</v>
      </c>
      <c r="E434" s="230" t="s">
        <v>708</v>
      </c>
      <c r="F434" s="231">
        <v>7598.68</v>
      </c>
      <c r="G434" s="232">
        <f t="shared" si="167"/>
        <v>0.63322333333333336</v>
      </c>
      <c r="H434" s="230">
        <v>11131.57</v>
      </c>
      <c r="I434" s="281">
        <f t="shared" si="175"/>
        <v>14000</v>
      </c>
      <c r="J434" s="936">
        <f t="shared" si="168"/>
        <v>1.1666666666666667</v>
      </c>
      <c r="K434" s="241">
        <f t="shared" si="176"/>
        <v>14000</v>
      </c>
      <c r="L434" s="236">
        <f t="shared" si="177"/>
        <v>0</v>
      </c>
      <c r="M434" s="236"/>
      <c r="N434" s="236"/>
      <c r="O434" s="236"/>
      <c r="P434" s="236"/>
      <c r="Q434" s="236"/>
      <c r="R434" s="242"/>
      <c r="S434" s="236">
        <v>14000</v>
      </c>
      <c r="T434" s="236">
        <f t="shared" si="178"/>
        <v>0</v>
      </c>
      <c r="U434" s="242"/>
      <c r="V434" s="242"/>
      <c r="W434" s="242"/>
      <c r="X434" s="242"/>
      <c r="Y434" s="242"/>
      <c r="Z434" s="242"/>
      <c r="AA434" s="242"/>
      <c r="AB434" s="242"/>
      <c r="AC434" s="242"/>
      <c r="AD434" s="242"/>
      <c r="AE434" s="242"/>
    </row>
    <row r="435" spans="1:31" x14ac:dyDescent="0.2">
      <c r="A435" s="227"/>
      <c r="B435" s="227"/>
      <c r="C435" s="228" t="s">
        <v>416</v>
      </c>
      <c r="D435" s="229" t="s">
        <v>417</v>
      </c>
      <c r="E435" s="230" t="s">
        <v>113</v>
      </c>
      <c r="F435" s="231">
        <v>493.75</v>
      </c>
      <c r="G435" s="232">
        <f t="shared" si="167"/>
        <v>0.49375000000000002</v>
      </c>
      <c r="H435" s="230">
        <v>493.75</v>
      </c>
      <c r="I435" s="281">
        <f t="shared" si="175"/>
        <v>1000</v>
      </c>
      <c r="J435" s="936">
        <f t="shared" si="168"/>
        <v>1</v>
      </c>
      <c r="K435" s="241">
        <f t="shared" si="176"/>
        <v>1000</v>
      </c>
      <c r="L435" s="236">
        <f t="shared" si="177"/>
        <v>0</v>
      </c>
      <c r="M435" s="236"/>
      <c r="N435" s="236"/>
      <c r="O435" s="236"/>
      <c r="P435" s="236"/>
      <c r="Q435" s="236"/>
      <c r="R435" s="242"/>
      <c r="S435" s="236">
        <v>1000</v>
      </c>
      <c r="T435" s="236">
        <f t="shared" si="178"/>
        <v>0</v>
      </c>
      <c r="U435" s="242"/>
      <c r="V435" s="242"/>
      <c r="W435" s="242"/>
      <c r="X435" s="242"/>
      <c r="Y435" s="242"/>
      <c r="Z435" s="242"/>
      <c r="AA435" s="242"/>
      <c r="AB435" s="242"/>
      <c r="AC435" s="242"/>
      <c r="AD435" s="242"/>
      <c r="AE435" s="242"/>
    </row>
    <row r="436" spans="1:31" x14ac:dyDescent="0.2">
      <c r="A436" s="227"/>
      <c r="B436" s="227"/>
      <c r="C436" s="228" t="s">
        <v>537</v>
      </c>
      <c r="D436" s="229" t="s">
        <v>538</v>
      </c>
      <c r="E436" s="230" t="s">
        <v>821</v>
      </c>
      <c r="F436" s="231">
        <v>29252</v>
      </c>
      <c r="G436" s="232">
        <f t="shared" si="167"/>
        <v>0.95791990044863606</v>
      </c>
      <c r="H436" s="230" t="s">
        <v>821</v>
      </c>
      <c r="I436" s="281">
        <f t="shared" si="175"/>
        <v>27662</v>
      </c>
      <c r="J436" s="936">
        <f t="shared" si="168"/>
        <v>0.90585191734617021</v>
      </c>
      <c r="K436" s="241">
        <f t="shared" si="176"/>
        <v>27662</v>
      </c>
      <c r="L436" s="236">
        <f t="shared" si="177"/>
        <v>0</v>
      </c>
      <c r="M436" s="236"/>
      <c r="N436" s="236"/>
      <c r="O436" s="236"/>
      <c r="P436" s="236"/>
      <c r="Q436" s="236"/>
      <c r="R436" s="242"/>
      <c r="S436" s="236">
        <v>27662</v>
      </c>
      <c r="T436" s="236">
        <f t="shared" si="178"/>
        <v>0</v>
      </c>
      <c r="U436" s="242"/>
      <c r="V436" s="242"/>
      <c r="W436" s="242"/>
      <c r="X436" s="242"/>
      <c r="Y436" s="242"/>
      <c r="Z436" s="242"/>
      <c r="AA436" s="242"/>
      <c r="AB436" s="242"/>
      <c r="AC436" s="242"/>
      <c r="AD436" s="242"/>
      <c r="AE436" s="242"/>
    </row>
    <row r="437" spans="1:31" ht="22.5" x14ac:dyDescent="0.2">
      <c r="A437" s="227"/>
      <c r="B437" s="227"/>
      <c r="C437" s="228" t="s">
        <v>540</v>
      </c>
      <c r="D437" s="229" t="s">
        <v>541</v>
      </c>
      <c r="E437" s="230" t="s">
        <v>822</v>
      </c>
      <c r="F437" s="231">
        <v>5132.97</v>
      </c>
      <c r="G437" s="232">
        <f t="shared" si="167"/>
        <v>0.64162125000000003</v>
      </c>
      <c r="H437" s="230" t="s">
        <v>822</v>
      </c>
      <c r="I437" s="281">
        <f t="shared" si="175"/>
        <v>11000</v>
      </c>
      <c r="J437" s="936">
        <f t="shared" si="168"/>
        <v>1.375</v>
      </c>
      <c r="K437" s="241">
        <f t="shared" si="176"/>
        <v>11000</v>
      </c>
      <c r="L437" s="236">
        <f t="shared" si="177"/>
        <v>0</v>
      </c>
      <c r="M437" s="236"/>
      <c r="N437" s="236"/>
      <c r="O437" s="236"/>
      <c r="P437" s="236"/>
      <c r="Q437" s="236"/>
      <c r="R437" s="242"/>
      <c r="S437" s="236">
        <v>11000</v>
      </c>
      <c r="T437" s="236">
        <f t="shared" si="178"/>
        <v>0</v>
      </c>
      <c r="U437" s="242"/>
      <c r="V437" s="242"/>
      <c r="W437" s="242"/>
      <c r="X437" s="242"/>
      <c r="Y437" s="242"/>
      <c r="Z437" s="242"/>
      <c r="AA437" s="242"/>
      <c r="AB437" s="242"/>
      <c r="AC437" s="242"/>
      <c r="AD437" s="242"/>
      <c r="AE437" s="242"/>
    </row>
    <row r="438" spans="1:31" ht="15" x14ac:dyDescent="0.2">
      <c r="A438" s="219"/>
      <c r="B438" s="220" t="s">
        <v>305</v>
      </c>
      <c r="C438" s="221"/>
      <c r="D438" s="222" t="s">
        <v>306</v>
      </c>
      <c r="E438" s="223">
        <f>E439+E440+E441+E442</f>
        <v>733000</v>
      </c>
      <c r="F438" s="239">
        <f t="shared" ref="F438:AE438" si="179">F439+F440+F441+F442</f>
        <v>529939</v>
      </c>
      <c r="G438" s="238">
        <f t="shared" si="167"/>
        <v>0.72297271487039561</v>
      </c>
      <c r="H438" s="239">
        <f t="shared" si="179"/>
        <v>723585.33</v>
      </c>
      <c r="I438" s="240">
        <f t="shared" si="179"/>
        <v>617184</v>
      </c>
      <c r="J438" s="937">
        <f t="shared" si="168"/>
        <v>0.84199727148703951</v>
      </c>
      <c r="K438" s="925">
        <f t="shared" si="179"/>
        <v>617184</v>
      </c>
      <c r="L438" s="223">
        <f t="shared" si="179"/>
        <v>0</v>
      </c>
      <c r="M438" s="223">
        <f t="shared" si="179"/>
        <v>0</v>
      </c>
      <c r="N438" s="223">
        <f t="shared" si="179"/>
        <v>0</v>
      </c>
      <c r="O438" s="223">
        <f t="shared" si="179"/>
        <v>0</v>
      </c>
      <c r="P438" s="223">
        <f t="shared" si="179"/>
        <v>0</v>
      </c>
      <c r="Q438" s="223">
        <f t="shared" si="179"/>
        <v>0</v>
      </c>
      <c r="R438" s="226">
        <f>R439+R440+R441+R442</f>
        <v>0</v>
      </c>
      <c r="S438" s="223">
        <f t="shared" si="179"/>
        <v>617184</v>
      </c>
      <c r="T438" s="223">
        <f t="shared" si="179"/>
        <v>0</v>
      </c>
      <c r="U438" s="223">
        <f t="shared" si="179"/>
        <v>0</v>
      </c>
      <c r="V438" s="223">
        <f t="shared" si="179"/>
        <v>0</v>
      </c>
      <c r="W438" s="223">
        <f t="shared" si="179"/>
        <v>0</v>
      </c>
      <c r="X438" s="223">
        <f t="shared" si="179"/>
        <v>0</v>
      </c>
      <c r="Y438" s="223">
        <f t="shared" si="179"/>
        <v>0</v>
      </c>
      <c r="Z438" s="223">
        <f t="shared" si="179"/>
        <v>0</v>
      </c>
      <c r="AA438" s="223">
        <f t="shared" si="179"/>
        <v>0</v>
      </c>
      <c r="AB438" s="223">
        <f t="shared" si="179"/>
        <v>0</v>
      </c>
      <c r="AC438" s="223">
        <f t="shared" si="179"/>
        <v>0</v>
      </c>
      <c r="AD438" s="223">
        <f t="shared" si="179"/>
        <v>0</v>
      </c>
      <c r="AE438" s="223">
        <f t="shared" si="179"/>
        <v>0</v>
      </c>
    </row>
    <row r="439" spans="1:31" hidden="1" x14ac:dyDescent="0.2">
      <c r="A439" s="227"/>
      <c r="B439" s="227"/>
      <c r="C439" s="228" t="s">
        <v>401</v>
      </c>
      <c r="D439" s="229" t="s">
        <v>402</v>
      </c>
      <c r="E439" s="230" t="s">
        <v>39</v>
      </c>
      <c r="F439" s="231">
        <v>0</v>
      </c>
      <c r="G439" s="232" t="e">
        <f t="shared" si="167"/>
        <v>#DIV/0!</v>
      </c>
      <c r="H439" s="233">
        <v>0</v>
      </c>
      <c r="I439" s="234">
        <f>K439</f>
        <v>0</v>
      </c>
      <c r="J439" s="936" t="e">
        <f t="shared" si="168"/>
        <v>#DIV/0!</v>
      </c>
      <c r="K439" s="241">
        <f>L439+S439+T439</f>
        <v>0</v>
      </c>
      <c r="L439" s="236">
        <f>SUM(M439:R439)</f>
        <v>0</v>
      </c>
      <c r="M439" s="242"/>
      <c r="N439" s="242"/>
      <c r="O439" s="242"/>
      <c r="P439" s="242"/>
      <c r="Q439" s="242"/>
      <c r="R439" s="242"/>
      <c r="S439" s="236">
        <v>0</v>
      </c>
      <c r="T439" s="236">
        <f>SUM(U439:AD439)</f>
        <v>0</v>
      </c>
      <c r="U439" s="242"/>
      <c r="V439" s="242"/>
      <c r="W439" s="242"/>
      <c r="X439" s="242"/>
      <c r="Y439" s="242"/>
      <c r="Z439" s="242"/>
      <c r="AA439" s="242"/>
      <c r="AB439" s="242"/>
      <c r="AC439" s="242"/>
      <c r="AD439" s="242"/>
      <c r="AE439" s="242"/>
    </row>
    <row r="440" spans="1:31" hidden="1" x14ac:dyDescent="0.2">
      <c r="A440" s="227"/>
      <c r="B440" s="227"/>
      <c r="C440" s="228" t="s">
        <v>404</v>
      </c>
      <c r="D440" s="229" t="s">
        <v>405</v>
      </c>
      <c r="E440" s="230" t="s">
        <v>39</v>
      </c>
      <c r="F440" s="231">
        <v>0</v>
      </c>
      <c r="G440" s="232" t="e">
        <f t="shared" si="167"/>
        <v>#DIV/0!</v>
      </c>
      <c r="H440" s="233">
        <v>0</v>
      </c>
      <c r="I440" s="234">
        <f t="shared" ref="I440:I442" si="180">K440</f>
        <v>0</v>
      </c>
      <c r="J440" s="936" t="e">
        <f t="shared" si="168"/>
        <v>#DIV/0!</v>
      </c>
      <c r="K440" s="241">
        <f t="shared" ref="K440:K442" si="181">L440+S440+T440</f>
        <v>0</v>
      </c>
      <c r="L440" s="236">
        <f>SUM(M440:R440)</f>
        <v>0</v>
      </c>
      <c r="M440" s="242"/>
      <c r="N440" s="242"/>
      <c r="O440" s="242"/>
      <c r="P440" s="242"/>
      <c r="Q440" s="242"/>
      <c r="R440" s="242"/>
      <c r="S440" s="236">
        <v>0</v>
      </c>
      <c r="T440" s="236">
        <f>SUM(U440:AD440)</f>
        <v>0</v>
      </c>
      <c r="U440" s="242"/>
      <c r="V440" s="242"/>
      <c r="W440" s="242"/>
      <c r="X440" s="242"/>
      <c r="Y440" s="242"/>
      <c r="Z440" s="242"/>
      <c r="AA440" s="242"/>
      <c r="AB440" s="242"/>
      <c r="AC440" s="242"/>
      <c r="AD440" s="242"/>
      <c r="AE440" s="242"/>
    </row>
    <row r="441" spans="1:31" hidden="1" x14ac:dyDescent="0.2">
      <c r="A441" s="227"/>
      <c r="B441" s="227"/>
      <c r="C441" s="228" t="s">
        <v>407</v>
      </c>
      <c r="D441" s="229" t="s">
        <v>408</v>
      </c>
      <c r="E441" s="230" t="s">
        <v>39</v>
      </c>
      <c r="F441" s="231">
        <v>0</v>
      </c>
      <c r="G441" s="232" t="e">
        <f t="shared" si="167"/>
        <v>#DIV/0!</v>
      </c>
      <c r="H441" s="233">
        <v>0</v>
      </c>
      <c r="I441" s="234">
        <f t="shared" si="180"/>
        <v>0</v>
      </c>
      <c r="J441" s="936" t="e">
        <f t="shared" si="168"/>
        <v>#DIV/0!</v>
      </c>
      <c r="K441" s="241">
        <f t="shared" si="181"/>
        <v>0</v>
      </c>
      <c r="L441" s="236">
        <f>SUM(M441:R441)</f>
        <v>0</v>
      </c>
      <c r="M441" s="242"/>
      <c r="N441" s="242"/>
      <c r="O441" s="242"/>
      <c r="P441" s="242"/>
      <c r="Q441" s="242"/>
      <c r="R441" s="242"/>
      <c r="S441" s="236">
        <v>0</v>
      </c>
      <c r="T441" s="236">
        <f>SUM(U441:AD441)</f>
        <v>0</v>
      </c>
      <c r="U441" s="242"/>
      <c r="V441" s="242"/>
      <c r="W441" s="242"/>
      <c r="X441" s="242"/>
      <c r="Y441" s="242"/>
      <c r="Z441" s="242"/>
      <c r="AA441" s="242"/>
      <c r="AB441" s="242"/>
      <c r="AC441" s="242"/>
      <c r="AD441" s="242"/>
      <c r="AE441" s="242"/>
    </row>
    <row r="442" spans="1:31" x14ac:dyDescent="0.2">
      <c r="A442" s="227"/>
      <c r="B442" s="227"/>
      <c r="C442" s="228" t="s">
        <v>413</v>
      </c>
      <c r="D442" s="229" t="s">
        <v>414</v>
      </c>
      <c r="E442" s="230" t="s">
        <v>823</v>
      </c>
      <c r="F442" s="231">
        <v>529939</v>
      </c>
      <c r="G442" s="232">
        <f t="shared" si="167"/>
        <v>0.72297271487039561</v>
      </c>
      <c r="H442" s="233">
        <v>723585.33</v>
      </c>
      <c r="I442" s="234">
        <f t="shared" si="180"/>
        <v>617184</v>
      </c>
      <c r="J442" s="936">
        <f t="shared" si="168"/>
        <v>0.84199727148703951</v>
      </c>
      <c r="K442" s="241">
        <f t="shared" si="181"/>
        <v>617184</v>
      </c>
      <c r="L442" s="236">
        <f>SUM(M442:R442)</f>
        <v>0</v>
      </c>
      <c r="M442" s="242"/>
      <c r="N442" s="242"/>
      <c r="O442" s="242"/>
      <c r="P442" s="242"/>
      <c r="Q442" s="242"/>
      <c r="R442" s="242"/>
      <c r="S442" s="236">
        <v>617184</v>
      </c>
      <c r="T442" s="236">
        <f>SUM(U442:AD442)</f>
        <v>0</v>
      </c>
      <c r="U442" s="242"/>
      <c r="V442" s="242"/>
      <c r="W442" s="242"/>
      <c r="X442" s="242"/>
      <c r="Y442" s="242"/>
      <c r="Z442" s="242"/>
      <c r="AA442" s="242"/>
      <c r="AB442" s="242"/>
      <c r="AC442" s="242"/>
      <c r="AD442" s="242"/>
      <c r="AE442" s="242"/>
    </row>
    <row r="443" spans="1:31" ht="15" x14ac:dyDescent="0.2">
      <c r="A443" s="219"/>
      <c r="B443" s="220" t="s">
        <v>310</v>
      </c>
      <c r="C443" s="221"/>
      <c r="D443" s="222" t="s">
        <v>311</v>
      </c>
      <c r="E443" s="223" t="str">
        <f>E444</f>
        <v>325 000,00</v>
      </c>
      <c r="F443" s="239">
        <f t="shared" ref="F443:AE443" si="182">F444</f>
        <v>171126.28</v>
      </c>
      <c r="G443" s="238">
        <f t="shared" si="167"/>
        <v>0.52654239999999997</v>
      </c>
      <c r="H443" s="239">
        <f t="shared" si="182"/>
        <v>325000</v>
      </c>
      <c r="I443" s="240">
        <f t="shared" si="182"/>
        <v>140000</v>
      </c>
      <c r="J443" s="937">
        <f t="shared" si="168"/>
        <v>0.43076923076923079</v>
      </c>
      <c r="K443" s="925">
        <f t="shared" si="182"/>
        <v>140000</v>
      </c>
      <c r="L443" s="223">
        <f t="shared" si="182"/>
        <v>0</v>
      </c>
      <c r="M443" s="223">
        <f t="shared" si="182"/>
        <v>0</v>
      </c>
      <c r="N443" s="223">
        <f t="shared" si="182"/>
        <v>0</v>
      </c>
      <c r="O443" s="223">
        <f t="shared" si="182"/>
        <v>0</v>
      </c>
      <c r="P443" s="223">
        <f t="shared" si="182"/>
        <v>0</v>
      </c>
      <c r="Q443" s="223">
        <f t="shared" si="182"/>
        <v>0</v>
      </c>
      <c r="R443" s="226">
        <f>R444</f>
        <v>0</v>
      </c>
      <c r="S443" s="223">
        <f t="shared" si="182"/>
        <v>140000</v>
      </c>
      <c r="T443" s="223">
        <f t="shared" si="182"/>
        <v>0</v>
      </c>
      <c r="U443" s="223">
        <f t="shared" si="182"/>
        <v>0</v>
      </c>
      <c r="V443" s="223">
        <f t="shared" si="182"/>
        <v>0</v>
      </c>
      <c r="W443" s="223">
        <f t="shared" si="182"/>
        <v>0</v>
      </c>
      <c r="X443" s="223">
        <f t="shared" si="182"/>
        <v>0</v>
      </c>
      <c r="Y443" s="223">
        <f t="shared" si="182"/>
        <v>0</v>
      </c>
      <c r="Z443" s="223">
        <f t="shared" si="182"/>
        <v>0</v>
      </c>
      <c r="AA443" s="223">
        <f t="shared" si="182"/>
        <v>0</v>
      </c>
      <c r="AB443" s="223">
        <f t="shared" si="182"/>
        <v>0</v>
      </c>
      <c r="AC443" s="223">
        <f t="shared" si="182"/>
        <v>0</v>
      </c>
      <c r="AD443" s="223">
        <f t="shared" si="182"/>
        <v>0</v>
      </c>
      <c r="AE443" s="223">
        <f t="shared" si="182"/>
        <v>0</v>
      </c>
    </row>
    <row r="444" spans="1:31" x14ac:dyDescent="0.2">
      <c r="A444" s="227"/>
      <c r="B444" s="227"/>
      <c r="C444" s="228" t="s">
        <v>807</v>
      </c>
      <c r="D444" s="229" t="s">
        <v>808</v>
      </c>
      <c r="E444" s="230" t="s">
        <v>824</v>
      </c>
      <c r="F444" s="231">
        <v>171126.28</v>
      </c>
      <c r="G444" s="232">
        <f t="shared" si="167"/>
        <v>0.52654239999999997</v>
      </c>
      <c r="H444" s="233">
        <v>325000</v>
      </c>
      <c r="I444" s="234">
        <f>K444</f>
        <v>140000</v>
      </c>
      <c r="J444" s="936">
        <f t="shared" si="168"/>
        <v>0.43076923076923079</v>
      </c>
      <c r="K444" s="241">
        <f>L444+S444+T444</f>
        <v>140000</v>
      </c>
      <c r="L444" s="236">
        <f>SUM(M444:R444)</f>
        <v>0</v>
      </c>
      <c r="M444" s="236"/>
      <c r="N444" s="236"/>
      <c r="O444" s="236"/>
      <c r="P444" s="236"/>
      <c r="Q444" s="236"/>
      <c r="R444" s="242"/>
      <c r="S444" s="236">
        <v>140000</v>
      </c>
      <c r="T444" s="236">
        <f>SUM(U444:AD444)</f>
        <v>0</v>
      </c>
      <c r="U444" s="242"/>
      <c r="V444" s="242"/>
      <c r="W444" s="242"/>
      <c r="X444" s="242"/>
      <c r="Y444" s="242"/>
      <c r="Z444" s="242"/>
      <c r="AA444" s="242"/>
      <c r="AB444" s="242"/>
      <c r="AC444" s="242"/>
      <c r="AD444" s="242"/>
      <c r="AE444" s="242"/>
    </row>
    <row r="445" spans="1:31" ht="15" x14ac:dyDescent="0.2">
      <c r="A445" s="219"/>
      <c r="B445" s="220" t="s">
        <v>825</v>
      </c>
      <c r="C445" s="221"/>
      <c r="D445" s="222" t="s">
        <v>826</v>
      </c>
      <c r="E445" s="223" t="str">
        <f>E446</f>
        <v>150 000,00</v>
      </c>
      <c r="F445" s="239">
        <f t="shared" ref="F445:AE445" si="183">F446</f>
        <v>150000</v>
      </c>
      <c r="G445" s="238">
        <f t="shared" si="167"/>
        <v>1</v>
      </c>
      <c r="H445" s="239">
        <f t="shared" si="183"/>
        <v>150000</v>
      </c>
      <c r="I445" s="240">
        <f t="shared" si="183"/>
        <v>150000</v>
      </c>
      <c r="J445" s="937">
        <f t="shared" si="168"/>
        <v>1</v>
      </c>
      <c r="K445" s="925">
        <f t="shared" si="183"/>
        <v>150000</v>
      </c>
      <c r="L445" s="223">
        <f t="shared" si="183"/>
        <v>150000</v>
      </c>
      <c r="M445" s="223">
        <f t="shared" si="183"/>
        <v>0</v>
      </c>
      <c r="N445" s="223">
        <f t="shared" si="183"/>
        <v>0</v>
      </c>
      <c r="O445" s="223">
        <f t="shared" si="183"/>
        <v>0</v>
      </c>
      <c r="P445" s="223">
        <f t="shared" si="183"/>
        <v>150000</v>
      </c>
      <c r="Q445" s="223">
        <f t="shared" si="183"/>
        <v>0</v>
      </c>
      <c r="R445" s="226">
        <f>R446</f>
        <v>0</v>
      </c>
      <c r="S445" s="223">
        <f t="shared" si="183"/>
        <v>0</v>
      </c>
      <c r="T445" s="223">
        <f t="shared" si="183"/>
        <v>0</v>
      </c>
      <c r="U445" s="223">
        <f t="shared" si="183"/>
        <v>0</v>
      </c>
      <c r="V445" s="223">
        <f t="shared" si="183"/>
        <v>0</v>
      </c>
      <c r="W445" s="223">
        <f t="shared" si="183"/>
        <v>0</v>
      </c>
      <c r="X445" s="223">
        <f t="shared" si="183"/>
        <v>0</v>
      </c>
      <c r="Y445" s="223">
        <f t="shared" si="183"/>
        <v>0</v>
      </c>
      <c r="Z445" s="223">
        <f t="shared" si="183"/>
        <v>0</v>
      </c>
      <c r="AA445" s="223">
        <f t="shared" si="183"/>
        <v>0</v>
      </c>
      <c r="AB445" s="223">
        <f t="shared" si="183"/>
        <v>0</v>
      </c>
      <c r="AC445" s="223">
        <f t="shared" si="183"/>
        <v>0</v>
      </c>
      <c r="AD445" s="223">
        <f t="shared" si="183"/>
        <v>0</v>
      </c>
      <c r="AE445" s="223">
        <f t="shared" si="183"/>
        <v>0</v>
      </c>
    </row>
    <row r="446" spans="1:31" ht="22.5" x14ac:dyDescent="0.2">
      <c r="A446" s="227"/>
      <c r="B446" s="227"/>
      <c r="C446" s="228" t="s">
        <v>458</v>
      </c>
      <c r="D446" s="229" t="s">
        <v>459</v>
      </c>
      <c r="E446" s="230" t="s">
        <v>827</v>
      </c>
      <c r="F446" s="231">
        <v>150000</v>
      </c>
      <c r="G446" s="232">
        <f t="shared" si="167"/>
        <v>1</v>
      </c>
      <c r="H446" s="233">
        <v>150000</v>
      </c>
      <c r="I446" s="234">
        <f>K446</f>
        <v>150000</v>
      </c>
      <c r="J446" s="936">
        <f t="shared" si="168"/>
        <v>1</v>
      </c>
      <c r="K446" s="241">
        <f>L446+S446+T446</f>
        <v>150000</v>
      </c>
      <c r="L446" s="236">
        <f>SUM(M446:R446)</f>
        <v>150000</v>
      </c>
      <c r="M446" s="242"/>
      <c r="N446" s="242"/>
      <c r="O446" s="242"/>
      <c r="P446" s="236">
        <v>150000</v>
      </c>
      <c r="Q446" s="242"/>
      <c r="R446" s="242"/>
      <c r="S446" s="242"/>
      <c r="T446" s="236">
        <f>SUM(U446:AD446)</f>
        <v>0</v>
      </c>
      <c r="U446" s="242"/>
      <c r="V446" s="242"/>
      <c r="W446" s="242"/>
      <c r="X446" s="242"/>
      <c r="Y446" s="242"/>
      <c r="Z446" s="242"/>
      <c r="AA446" s="242"/>
      <c r="AB446" s="242"/>
      <c r="AC446" s="242"/>
      <c r="AD446" s="242"/>
      <c r="AE446" s="242"/>
    </row>
    <row r="447" spans="1:31" ht="15" x14ac:dyDescent="0.2">
      <c r="A447" s="219"/>
      <c r="B447" s="220" t="s">
        <v>828</v>
      </c>
      <c r="C447" s="221"/>
      <c r="D447" s="222" t="s">
        <v>41</v>
      </c>
      <c r="E447" s="223">
        <f>E448+E449</f>
        <v>14000</v>
      </c>
      <c r="F447" s="239">
        <f t="shared" ref="F447:AE447" si="184">F448+F449</f>
        <v>2428.5500000000002</v>
      </c>
      <c r="G447" s="238">
        <f t="shared" si="167"/>
        <v>0.17346785714285715</v>
      </c>
      <c r="H447" s="239">
        <f t="shared" si="184"/>
        <v>14000</v>
      </c>
      <c r="I447" s="240">
        <f t="shared" si="184"/>
        <v>14000</v>
      </c>
      <c r="J447" s="937">
        <f t="shared" si="168"/>
        <v>1</v>
      </c>
      <c r="K447" s="925">
        <f t="shared" si="184"/>
        <v>14000</v>
      </c>
      <c r="L447" s="223">
        <f t="shared" si="184"/>
        <v>0</v>
      </c>
      <c r="M447" s="223">
        <f t="shared" si="184"/>
        <v>0</v>
      </c>
      <c r="N447" s="223">
        <f t="shared" si="184"/>
        <v>0</v>
      </c>
      <c r="O447" s="223">
        <f t="shared" si="184"/>
        <v>0</v>
      </c>
      <c r="P447" s="223">
        <f t="shared" si="184"/>
        <v>0</v>
      </c>
      <c r="Q447" s="223">
        <f t="shared" si="184"/>
        <v>0</v>
      </c>
      <c r="R447" s="226">
        <f>R448+R449</f>
        <v>0</v>
      </c>
      <c r="S447" s="223">
        <f t="shared" si="184"/>
        <v>14000</v>
      </c>
      <c r="T447" s="223">
        <f t="shared" si="184"/>
        <v>0</v>
      </c>
      <c r="U447" s="223">
        <f t="shared" si="184"/>
        <v>0</v>
      </c>
      <c r="V447" s="223">
        <f t="shared" si="184"/>
        <v>0</v>
      </c>
      <c r="W447" s="223">
        <f t="shared" si="184"/>
        <v>0</v>
      </c>
      <c r="X447" s="223">
        <f t="shared" si="184"/>
        <v>0</v>
      </c>
      <c r="Y447" s="223">
        <f t="shared" si="184"/>
        <v>0</v>
      </c>
      <c r="Z447" s="223">
        <f t="shared" si="184"/>
        <v>0</v>
      </c>
      <c r="AA447" s="223">
        <f t="shared" si="184"/>
        <v>0</v>
      </c>
      <c r="AB447" s="223">
        <f t="shared" si="184"/>
        <v>0</v>
      </c>
      <c r="AC447" s="223">
        <f t="shared" si="184"/>
        <v>0</v>
      </c>
      <c r="AD447" s="223">
        <f t="shared" si="184"/>
        <v>0</v>
      </c>
      <c r="AE447" s="223">
        <f t="shared" si="184"/>
        <v>0</v>
      </c>
    </row>
    <row r="448" spans="1:31" x14ac:dyDescent="0.2">
      <c r="A448" s="227"/>
      <c r="B448" s="227"/>
      <c r="C448" s="228" t="s">
        <v>410</v>
      </c>
      <c r="D448" s="229" t="s">
        <v>411</v>
      </c>
      <c r="E448" s="230" t="s">
        <v>161</v>
      </c>
      <c r="F448" s="231">
        <v>2183.4</v>
      </c>
      <c r="G448" s="232">
        <f t="shared" si="167"/>
        <v>0.3639</v>
      </c>
      <c r="H448" s="233">
        <v>6000</v>
      </c>
      <c r="I448" s="234">
        <f>K448</f>
        <v>6000</v>
      </c>
      <c r="J448" s="936">
        <f t="shared" si="168"/>
        <v>1</v>
      </c>
      <c r="K448" s="241">
        <f>L448+S448+T448</f>
        <v>6000</v>
      </c>
      <c r="L448" s="236">
        <f>SUM(M448:R448)</f>
        <v>0</v>
      </c>
      <c r="M448" s="242"/>
      <c r="N448" s="242"/>
      <c r="O448" s="236"/>
      <c r="P448" s="236"/>
      <c r="Q448" s="236"/>
      <c r="R448" s="242"/>
      <c r="S448" s="236">
        <v>6000</v>
      </c>
      <c r="T448" s="236">
        <f>SUM(U448:AD448)</f>
        <v>0</v>
      </c>
      <c r="U448" s="236"/>
      <c r="V448" s="236"/>
      <c r="W448" s="236"/>
      <c r="X448" s="236"/>
      <c r="Y448" s="236"/>
      <c r="Z448" s="242"/>
      <c r="AA448" s="242"/>
      <c r="AB448" s="242"/>
      <c r="AC448" s="242"/>
      <c r="AD448" s="242"/>
      <c r="AE448" s="242"/>
    </row>
    <row r="449" spans="1:31" x14ac:dyDescent="0.2">
      <c r="A449" s="227"/>
      <c r="B449" s="227"/>
      <c r="C449" s="228" t="s">
        <v>413</v>
      </c>
      <c r="D449" s="229" t="s">
        <v>414</v>
      </c>
      <c r="E449" s="230" t="s">
        <v>822</v>
      </c>
      <c r="F449" s="231">
        <v>245.15</v>
      </c>
      <c r="G449" s="232">
        <f t="shared" si="167"/>
        <v>3.0643750000000001E-2</v>
      </c>
      <c r="H449" s="233">
        <v>8000</v>
      </c>
      <c r="I449" s="234">
        <f>K449</f>
        <v>8000</v>
      </c>
      <c r="J449" s="936">
        <f t="shared" si="168"/>
        <v>1</v>
      </c>
      <c r="K449" s="241">
        <f>L449+S449+T449</f>
        <v>8000</v>
      </c>
      <c r="L449" s="236">
        <f>SUM(M449:R449)</f>
        <v>0</v>
      </c>
      <c r="M449" s="242"/>
      <c r="N449" s="242"/>
      <c r="O449" s="236"/>
      <c r="P449" s="236"/>
      <c r="Q449" s="236"/>
      <c r="R449" s="242"/>
      <c r="S449" s="236">
        <v>8000</v>
      </c>
      <c r="T449" s="236">
        <f>SUM(U449:AD449)</f>
        <v>0</v>
      </c>
      <c r="U449" s="236"/>
      <c r="V449" s="236"/>
      <c r="W449" s="236"/>
      <c r="X449" s="236"/>
      <c r="Y449" s="236"/>
      <c r="Z449" s="242"/>
      <c r="AA449" s="242"/>
      <c r="AB449" s="242"/>
      <c r="AC449" s="242"/>
      <c r="AD449" s="242"/>
      <c r="AE449" s="242"/>
    </row>
    <row r="450" spans="1:31" x14ac:dyDescent="0.2">
      <c r="A450" s="213" t="s">
        <v>313</v>
      </c>
      <c r="B450" s="213"/>
      <c r="C450" s="213"/>
      <c r="D450" s="214" t="s">
        <v>314</v>
      </c>
      <c r="E450" s="215">
        <f>E451</f>
        <v>868875.88</v>
      </c>
      <c r="F450" s="215">
        <f t="shared" ref="F450:AE450" si="185">F451</f>
        <v>477976.11</v>
      </c>
      <c r="G450" s="246">
        <f t="shared" si="167"/>
        <v>0.55010861850601722</v>
      </c>
      <c r="H450" s="215">
        <f t="shared" si="185"/>
        <v>868875.88</v>
      </c>
      <c r="I450" s="217">
        <f t="shared" si="185"/>
        <v>14000</v>
      </c>
      <c r="J450" s="938">
        <f t="shared" si="168"/>
        <v>1.6112773207607053E-2</v>
      </c>
      <c r="K450" s="924">
        <f t="shared" si="185"/>
        <v>14000</v>
      </c>
      <c r="L450" s="215">
        <f t="shared" si="185"/>
        <v>14000</v>
      </c>
      <c r="M450" s="215">
        <f t="shared" si="185"/>
        <v>0</v>
      </c>
      <c r="N450" s="215">
        <f t="shared" si="185"/>
        <v>14000</v>
      </c>
      <c r="O450" s="215">
        <f t="shared" si="185"/>
        <v>0</v>
      </c>
      <c r="P450" s="215">
        <f t="shared" si="185"/>
        <v>0</v>
      </c>
      <c r="Q450" s="215">
        <f t="shared" si="185"/>
        <v>0</v>
      </c>
      <c r="R450" s="218">
        <f>R451</f>
        <v>0</v>
      </c>
      <c r="S450" s="215">
        <f t="shared" si="185"/>
        <v>0</v>
      </c>
      <c r="T450" s="215">
        <f t="shared" si="185"/>
        <v>0</v>
      </c>
      <c r="U450" s="215">
        <f t="shared" si="185"/>
        <v>0</v>
      </c>
      <c r="V450" s="215">
        <f t="shared" si="185"/>
        <v>0</v>
      </c>
      <c r="W450" s="215">
        <f t="shared" si="185"/>
        <v>0</v>
      </c>
      <c r="X450" s="215">
        <f t="shared" si="185"/>
        <v>0</v>
      </c>
      <c r="Y450" s="215">
        <f t="shared" si="185"/>
        <v>0</v>
      </c>
      <c r="Z450" s="215">
        <f t="shared" si="185"/>
        <v>0</v>
      </c>
      <c r="AA450" s="215">
        <f t="shared" si="185"/>
        <v>0</v>
      </c>
      <c r="AB450" s="215">
        <f t="shared" si="185"/>
        <v>0</v>
      </c>
      <c r="AC450" s="215">
        <f t="shared" si="185"/>
        <v>0</v>
      </c>
      <c r="AD450" s="215">
        <f t="shared" si="185"/>
        <v>0</v>
      </c>
      <c r="AE450" s="215">
        <f t="shared" si="185"/>
        <v>0</v>
      </c>
    </row>
    <row r="451" spans="1:31" ht="15" x14ac:dyDescent="0.2">
      <c r="A451" s="219"/>
      <c r="B451" s="220" t="s">
        <v>315</v>
      </c>
      <c r="C451" s="221"/>
      <c r="D451" s="222" t="s">
        <v>41</v>
      </c>
      <c r="E451" s="223">
        <f>E452+E453+E454+E455+E456+E457+E458+E459+E460+E461+E462+E463+E464+E465+E466+E467+E468+E469+E470</f>
        <v>868875.88</v>
      </c>
      <c r="F451" s="223">
        <f t="shared" ref="F451:AE451" si="186">F452+F453+F454+F455+F456+F457+F458+F459+F460+F461+F462+F463+F464+F465+F466+F467+F468+F469+F470</f>
        <v>477976.11</v>
      </c>
      <c r="G451" s="238">
        <f t="shared" si="167"/>
        <v>0.55010861850601722</v>
      </c>
      <c r="H451" s="223">
        <f t="shared" si="186"/>
        <v>868875.88</v>
      </c>
      <c r="I451" s="225">
        <f t="shared" si="186"/>
        <v>14000</v>
      </c>
      <c r="J451" s="937">
        <f t="shared" si="168"/>
        <v>1.6112773207607053E-2</v>
      </c>
      <c r="K451" s="925">
        <f t="shared" si="186"/>
        <v>14000</v>
      </c>
      <c r="L451" s="223">
        <f t="shared" si="186"/>
        <v>14000</v>
      </c>
      <c r="M451" s="223">
        <f t="shared" si="186"/>
        <v>0</v>
      </c>
      <c r="N451" s="223">
        <f t="shared" si="186"/>
        <v>14000</v>
      </c>
      <c r="O451" s="223">
        <f t="shared" si="186"/>
        <v>0</v>
      </c>
      <c r="P451" s="223">
        <f t="shared" si="186"/>
        <v>0</v>
      </c>
      <c r="Q451" s="223">
        <f t="shared" si="186"/>
        <v>0</v>
      </c>
      <c r="R451" s="226">
        <f>R452+R453+R454+R455+R456+R457+R458+R459+R460+R461+R462+R463+R464+R465+R466+R467+R468+R469+R470</f>
        <v>0</v>
      </c>
      <c r="S451" s="223">
        <f t="shared" si="186"/>
        <v>0</v>
      </c>
      <c r="T451" s="223">
        <f t="shared" si="186"/>
        <v>0</v>
      </c>
      <c r="U451" s="223">
        <f t="shared" si="186"/>
        <v>0</v>
      </c>
      <c r="V451" s="223">
        <f t="shared" si="186"/>
        <v>0</v>
      </c>
      <c r="W451" s="223">
        <f t="shared" si="186"/>
        <v>0</v>
      </c>
      <c r="X451" s="223">
        <f t="shared" si="186"/>
        <v>0</v>
      </c>
      <c r="Y451" s="223">
        <f t="shared" si="186"/>
        <v>0</v>
      </c>
      <c r="Z451" s="223">
        <f t="shared" si="186"/>
        <v>0</v>
      </c>
      <c r="AA451" s="223">
        <f t="shared" si="186"/>
        <v>0</v>
      </c>
      <c r="AB451" s="223">
        <f t="shared" si="186"/>
        <v>0</v>
      </c>
      <c r="AC451" s="223">
        <f t="shared" si="186"/>
        <v>0</v>
      </c>
      <c r="AD451" s="223">
        <f t="shared" si="186"/>
        <v>0</v>
      </c>
      <c r="AE451" s="223">
        <f t="shared" si="186"/>
        <v>0</v>
      </c>
    </row>
    <row r="452" spans="1:31" ht="56.25" x14ac:dyDescent="0.2">
      <c r="A452" s="227"/>
      <c r="B452" s="227"/>
      <c r="C452" s="228" t="s">
        <v>109</v>
      </c>
      <c r="D452" s="229" t="s">
        <v>595</v>
      </c>
      <c r="E452" s="230" t="s">
        <v>592</v>
      </c>
      <c r="F452" s="231">
        <v>4600</v>
      </c>
      <c r="G452" s="232">
        <f t="shared" si="167"/>
        <v>1</v>
      </c>
      <c r="H452" s="230" t="s">
        <v>592</v>
      </c>
      <c r="I452" s="234">
        <f>K452</f>
        <v>14000</v>
      </c>
      <c r="J452" s="936">
        <f t="shared" si="168"/>
        <v>3.0434782608695654</v>
      </c>
      <c r="K452" s="241">
        <f>L452+S452+T452</f>
        <v>14000</v>
      </c>
      <c r="L452" s="236">
        <f>SUM(M452:R452)</f>
        <v>14000</v>
      </c>
      <c r="M452" s="236"/>
      <c r="N452" s="236">
        <v>14000</v>
      </c>
      <c r="O452" s="236"/>
      <c r="P452" s="236"/>
      <c r="Q452" s="236"/>
      <c r="R452" s="236"/>
      <c r="S452" s="236"/>
      <c r="T452" s="236">
        <f>SUM(U452:AD452)</f>
        <v>0</v>
      </c>
      <c r="U452" s="236"/>
      <c r="V452" s="236"/>
      <c r="W452" s="236"/>
      <c r="X452" s="236"/>
      <c r="Y452" s="236"/>
      <c r="Z452" s="236"/>
      <c r="AA452" s="236"/>
      <c r="AB452" s="236"/>
      <c r="AC452" s="236"/>
      <c r="AD452" s="236"/>
      <c r="AE452" s="236"/>
    </row>
    <row r="453" spans="1:31" x14ac:dyDescent="0.2">
      <c r="A453" s="227"/>
      <c r="B453" s="227"/>
      <c r="C453" s="228" t="s">
        <v>829</v>
      </c>
      <c r="D453" s="229" t="s">
        <v>808</v>
      </c>
      <c r="E453" s="230" t="s">
        <v>830</v>
      </c>
      <c r="F453" s="231">
        <v>128000.03</v>
      </c>
      <c r="G453" s="232">
        <f t="shared" si="167"/>
        <v>0.73219344569182332</v>
      </c>
      <c r="H453" s="230" t="s">
        <v>830</v>
      </c>
      <c r="I453" s="234">
        <f t="shared" ref="I453:I470" si="187">K453</f>
        <v>0</v>
      </c>
      <c r="J453" s="936">
        <f t="shared" si="168"/>
        <v>0</v>
      </c>
      <c r="K453" s="241">
        <f t="shared" ref="K453:K470" si="188">L453+S453+T453</f>
        <v>0</v>
      </c>
      <c r="L453" s="236">
        <f t="shared" ref="L453:L470" si="189">SUM(M453:R453)</f>
        <v>0</v>
      </c>
      <c r="M453" s="236"/>
      <c r="N453" s="236"/>
      <c r="O453" s="236"/>
      <c r="P453" s="236"/>
      <c r="Q453" s="236"/>
      <c r="R453" s="236"/>
      <c r="S453" s="236"/>
      <c r="T453" s="236">
        <f t="shared" ref="T453:T470" si="190">SUM(U453:AD453)</f>
        <v>0</v>
      </c>
      <c r="U453" s="236"/>
      <c r="V453" s="236"/>
      <c r="W453" s="236"/>
      <c r="X453" s="236"/>
      <c r="Y453" s="236"/>
      <c r="Z453" s="236"/>
      <c r="AA453" s="236"/>
      <c r="AB453" s="236"/>
      <c r="AC453" s="236"/>
      <c r="AD453" s="236"/>
      <c r="AE453" s="236"/>
    </row>
    <row r="454" spans="1:31" x14ac:dyDescent="0.2">
      <c r="A454" s="227"/>
      <c r="B454" s="227"/>
      <c r="C454" s="228" t="s">
        <v>831</v>
      </c>
      <c r="D454" s="229" t="s">
        <v>808</v>
      </c>
      <c r="E454" s="230" t="s">
        <v>832</v>
      </c>
      <c r="F454" s="231">
        <v>0</v>
      </c>
      <c r="G454" s="232">
        <f t="shared" si="167"/>
        <v>0</v>
      </c>
      <c r="H454" s="230" t="s">
        <v>832</v>
      </c>
      <c r="I454" s="234">
        <f t="shared" si="187"/>
        <v>0</v>
      </c>
      <c r="J454" s="936">
        <f t="shared" si="168"/>
        <v>0</v>
      </c>
      <c r="K454" s="241">
        <f t="shared" si="188"/>
        <v>0</v>
      </c>
      <c r="L454" s="236">
        <f t="shared" si="189"/>
        <v>0</v>
      </c>
      <c r="M454" s="236"/>
      <c r="N454" s="236"/>
      <c r="O454" s="236"/>
      <c r="P454" s="236"/>
      <c r="Q454" s="236"/>
      <c r="R454" s="236"/>
      <c r="S454" s="236"/>
      <c r="T454" s="236">
        <f t="shared" si="190"/>
        <v>0</v>
      </c>
      <c r="U454" s="236"/>
      <c r="V454" s="236"/>
      <c r="W454" s="236"/>
      <c r="X454" s="236"/>
      <c r="Y454" s="236"/>
      <c r="Z454" s="236"/>
      <c r="AA454" s="236"/>
      <c r="AB454" s="236"/>
      <c r="AC454" s="236"/>
      <c r="AD454" s="236"/>
      <c r="AE454" s="236"/>
    </row>
    <row r="455" spans="1:31" x14ac:dyDescent="0.2">
      <c r="A455" s="227"/>
      <c r="B455" s="227"/>
      <c r="C455" s="228" t="s">
        <v>747</v>
      </c>
      <c r="D455" s="229" t="s">
        <v>402</v>
      </c>
      <c r="E455" s="230" t="s">
        <v>833</v>
      </c>
      <c r="F455" s="231">
        <v>58111.09</v>
      </c>
      <c r="G455" s="232">
        <f t="shared" si="167"/>
        <v>0.56485323762923167</v>
      </c>
      <c r="H455" s="230" t="s">
        <v>833</v>
      </c>
      <c r="I455" s="234">
        <f t="shared" si="187"/>
        <v>0</v>
      </c>
      <c r="J455" s="936">
        <f t="shared" si="168"/>
        <v>0</v>
      </c>
      <c r="K455" s="241">
        <f t="shared" si="188"/>
        <v>0</v>
      </c>
      <c r="L455" s="236">
        <f t="shared" si="189"/>
        <v>0</v>
      </c>
      <c r="M455" s="236"/>
      <c r="N455" s="236"/>
      <c r="O455" s="236"/>
      <c r="P455" s="236"/>
      <c r="Q455" s="236"/>
      <c r="R455" s="236"/>
      <c r="S455" s="236"/>
      <c r="T455" s="236">
        <f t="shared" si="190"/>
        <v>0</v>
      </c>
      <c r="U455" s="236"/>
      <c r="V455" s="236"/>
      <c r="W455" s="236"/>
      <c r="X455" s="236"/>
      <c r="Y455" s="236"/>
      <c r="Z455" s="236"/>
      <c r="AA455" s="236"/>
      <c r="AB455" s="236"/>
      <c r="AC455" s="236"/>
      <c r="AD455" s="236"/>
      <c r="AE455" s="236"/>
    </row>
    <row r="456" spans="1:31" x14ac:dyDescent="0.2">
      <c r="A456" s="227"/>
      <c r="B456" s="227"/>
      <c r="C456" s="228" t="s">
        <v>749</v>
      </c>
      <c r="D456" s="229" t="s">
        <v>402</v>
      </c>
      <c r="E456" s="230" t="s">
        <v>834</v>
      </c>
      <c r="F456" s="231">
        <v>4042.24</v>
      </c>
      <c r="G456" s="232">
        <f t="shared" si="167"/>
        <v>0.55947261556603445</v>
      </c>
      <c r="H456" s="230" t="s">
        <v>834</v>
      </c>
      <c r="I456" s="234">
        <f t="shared" si="187"/>
        <v>0</v>
      </c>
      <c r="J456" s="936">
        <f t="shared" si="168"/>
        <v>0</v>
      </c>
      <c r="K456" s="241">
        <f t="shared" si="188"/>
        <v>0</v>
      </c>
      <c r="L456" s="236">
        <f t="shared" si="189"/>
        <v>0</v>
      </c>
      <c r="M456" s="236"/>
      <c r="N456" s="236"/>
      <c r="O456" s="236"/>
      <c r="P456" s="236"/>
      <c r="Q456" s="236"/>
      <c r="R456" s="236"/>
      <c r="S456" s="236"/>
      <c r="T456" s="236">
        <f t="shared" si="190"/>
        <v>0</v>
      </c>
      <c r="U456" s="236"/>
      <c r="V456" s="236"/>
      <c r="W456" s="236"/>
      <c r="X456" s="236"/>
      <c r="Y456" s="236"/>
      <c r="Z456" s="236"/>
      <c r="AA456" s="236"/>
      <c r="AB456" s="236"/>
      <c r="AC456" s="236"/>
      <c r="AD456" s="236"/>
      <c r="AE456" s="236"/>
    </row>
    <row r="457" spans="1:31" x14ac:dyDescent="0.2">
      <c r="A457" s="227"/>
      <c r="B457" s="227"/>
      <c r="C457" s="228" t="s">
        <v>752</v>
      </c>
      <c r="D457" s="229" t="s">
        <v>405</v>
      </c>
      <c r="E457" s="230" t="s">
        <v>835</v>
      </c>
      <c r="F457" s="231">
        <v>15349.71</v>
      </c>
      <c r="G457" s="232">
        <f t="shared" si="167"/>
        <v>0.6422523861068351</v>
      </c>
      <c r="H457" s="230" t="s">
        <v>835</v>
      </c>
      <c r="I457" s="234">
        <f t="shared" si="187"/>
        <v>0</v>
      </c>
      <c r="J457" s="936">
        <f t="shared" si="168"/>
        <v>0</v>
      </c>
      <c r="K457" s="241">
        <f t="shared" si="188"/>
        <v>0</v>
      </c>
      <c r="L457" s="236">
        <f t="shared" si="189"/>
        <v>0</v>
      </c>
      <c r="M457" s="236"/>
      <c r="N457" s="236"/>
      <c r="O457" s="236"/>
      <c r="P457" s="236"/>
      <c r="Q457" s="236"/>
      <c r="R457" s="236"/>
      <c r="S457" s="236"/>
      <c r="T457" s="236">
        <f t="shared" si="190"/>
        <v>0</v>
      </c>
      <c r="U457" s="236"/>
      <c r="V457" s="236"/>
      <c r="W457" s="236"/>
      <c r="X457" s="236"/>
      <c r="Y457" s="236"/>
      <c r="Z457" s="236"/>
      <c r="AA457" s="236"/>
      <c r="AB457" s="236"/>
      <c r="AC457" s="236"/>
      <c r="AD457" s="236"/>
      <c r="AE457" s="236"/>
    </row>
    <row r="458" spans="1:31" x14ac:dyDescent="0.2">
      <c r="A458" s="227"/>
      <c r="B458" s="227"/>
      <c r="C458" s="228" t="s">
        <v>754</v>
      </c>
      <c r="D458" s="229" t="s">
        <v>405</v>
      </c>
      <c r="E458" s="230" t="s">
        <v>836</v>
      </c>
      <c r="F458" s="231">
        <v>705.76</v>
      </c>
      <c r="G458" s="232">
        <f t="shared" si="167"/>
        <v>0.55946095917558458</v>
      </c>
      <c r="H458" s="230" t="s">
        <v>836</v>
      </c>
      <c r="I458" s="234">
        <f t="shared" si="187"/>
        <v>0</v>
      </c>
      <c r="J458" s="936">
        <f t="shared" si="168"/>
        <v>0</v>
      </c>
      <c r="K458" s="241">
        <f t="shared" si="188"/>
        <v>0</v>
      </c>
      <c r="L458" s="236">
        <f t="shared" si="189"/>
        <v>0</v>
      </c>
      <c r="M458" s="236"/>
      <c r="N458" s="236"/>
      <c r="O458" s="236"/>
      <c r="P458" s="236"/>
      <c r="Q458" s="236"/>
      <c r="R458" s="236"/>
      <c r="S458" s="236"/>
      <c r="T458" s="236">
        <f t="shared" si="190"/>
        <v>0</v>
      </c>
      <c r="U458" s="236"/>
      <c r="V458" s="236"/>
      <c r="W458" s="236"/>
      <c r="X458" s="236"/>
      <c r="Y458" s="236"/>
      <c r="Z458" s="236"/>
      <c r="AA458" s="236"/>
      <c r="AB458" s="236"/>
      <c r="AC458" s="236"/>
      <c r="AD458" s="236"/>
      <c r="AE458" s="236"/>
    </row>
    <row r="459" spans="1:31" x14ac:dyDescent="0.2">
      <c r="A459" s="227"/>
      <c r="B459" s="227"/>
      <c r="C459" s="228" t="s">
        <v>757</v>
      </c>
      <c r="D459" s="229" t="s">
        <v>408</v>
      </c>
      <c r="E459" s="230" t="s">
        <v>837</v>
      </c>
      <c r="F459" s="231">
        <v>2022.46</v>
      </c>
      <c r="G459" s="232">
        <f t="shared" si="167"/>
        <v>0.60108896589848604</v>
      </c>
      <c r="H459" s="230" t="s">
        <v>837</v>
      </c>
      <c r="I459" s="234">
        <f t="shared" si="187"/>
        <v>0</v>
      </c>
      <c r="J459" s="936">
        <f t="shared" si="168"/>
        <v>0</v>
      </c>
      <c r="K459" s="241">
        <f t="shared" si="188"/>
        <v>0</v>
      </c>
      <c r="L459" s="236">
        <f t="shared" si="189"/>
        <v>0</v>
      </c>
      <c r="M459" s="236"/>
      <c r="N459" s="236"/>
      <c r="O459" s="236"/>
      <c r="P459" s="236"/>
      <c r="Q459" s="236"/>
      <c r="R459" s="236"/>
      <c r="S459" s="236"/>
      <c r="T459" s="236">
        <f t="shared" si="190"/>
        <v>0</v>
      </c>
      <c r="U459" s="236"/>
      <c r="V459" s="236"/>
      <c r="W459" s="236"/>
      <c r="X459" s="236"/>
      <c r="Y459" s="236"/>
      <c r="Z459" s="236"/>
      <c r="AA459" s="236"/>
      <c r="AB459" s="236"/>
      <c r="AC459" s="236"/>
      <c r="AD459" s="236"/>
      <c r="AE459" s="236"/>
    </row>
    <row r="460" spans="1:31" x14ac:dyDescent="0.2">
      <c r="A460" s="227"/>
      <c r="B460" s="227"/>
      <c r="C460" s="228" t="s">
        <v>759</v>
      </c>
      <c r="D460" s="229" t="s">
        <v>408</v>
      </c>
      <c r="E460" s="230" t="s">
        <v>838</v>
      </c>
      <c r="F460" s="231">
        <v>90.93</v>
      </c>
      <c r="G460" s="232">
        <f t="shared" si="167"/>
        <v>0.50992597577388965</v>
      </c>
      <c r="H460" s="230" t="s">
        <v>838</v>
      </c>
      <c r="I460" s="234">
        <f t="shared" si="187"/>
        <v>0</v>
      </c>
      <c r="J460" s="936">
        <f t="shared" si="168"/>
        <v>0</v>
      </c>
      <c r="K460" s="241">
        <f t="shared" si="188"/>
        <v>0</v>
      </c>
      <c r="L460" s="236">
        <f t="shared" si="189"/>
        <v>0</v>
      </c>
      <c r="M460" s="236"/>
      <c r="N460" s="236"/>
      <c r="O460" s="236"/>
      <c r="P460" s="236"/>
      <c r="Q460" s="236"/>
      <c r="R460" s="236"/>
      <c r="S460" s="236"/>
      <c r="T460" s="236">
        <f t="shared" si="190"/>
        <v>0</v>
      </c>
      <c r="U460" s="236"/>
      <c r="V460" s="236"/>
      <c r="W460" s="236"/>
      <c r="X460" s="236"/>
      <c r="Y460" s="236"/>
      <c r="Z460" s="236"/>
      <c r="AA460" s="236"/>
      <c r="AB460" s="236"/>
      <c r="AC460" s="236"/>
      <c r="AD460" s="236"/>
      <c r="AE460" s="236"/>
    </row>
    <row r="461" spans="1:31" x14ac:dyDescent="0.2">
      <c r="A461" s="227"/>
      <c r="B461" s="227"/>
      <c r="C461" s="228" t="s">
        <v>839</v>
      </c>
      <c r="D461" s="229" t="s">
        <v>805</v>
      </c>
      <c r="E461" s="230" t="s">
        <v>840</v>
      </c>
      <c r="F461" s="231">
        <v>7121.16</v>
      </c>
      <c r="G461" s="232">
        <f t="shared" si="167"/>
        <v>0.81366459627329202</v>
      </c>
      <c r="H461" s="230" t="s">
        <v>840</v>
      </c>
      <c r="I461" s="234">
        <f t="shared" si="187"/>
        <v>0</v>
      </c>
      <c r="J461" s="936">
        <f t="shared" si="168"/>
        <v>0</v>
      </c>
      <c r="K461" s="241">
        <f t="shared" si="188"/>
        <v>0</v>
      </c>
      <c r="L461" s="236">
        <f t="shared" si="189"/>
        <v>0</v>
      </c>
      <c r="M461" s="236"/>
      <c r="N461" s="236"/>
      <c r="O461" s="236"/>
      <c r="P461" s="236"/>
      <c r="Q461" s="236"/>
      <c r="R461" s="236"/>
      <c r="S461" s="236"/>
      <c r="T461" s="236">
        <f t="shared" si="190"/>
        <v>0</v>
      </c>
      <c r="U461" s="236"/>
      <c r="V461" s="236"/>
      <c r="W461" s="236"/>
      <c r="X461" s="236"/>
      <c r="Y461" s="236"/>
      <c r="Z461" s="236"/>
      <c r="AA461" s="236"/>
      <c r="AB461" s="236"/>
      <c r="AC461" s="236"/>
      <c r="AD461" s="236"/>
      <c r="AE461" s="236"/>
    </row>
    <row r="462" spans="1:31" x14ac:dyDescent="0.2">
      <c r="A462" s="227"/>
      <c r="B462" s="227"/>
      <c r="C462" s="228" t="s">
        <v>841</v>
      </c>
      <c r="D462" s="229" t="s">
        <v>421</v>
      </c>
      <c r="E462" s="230" t="s">
        <v>842</v>
      </c>
      <c r="F462" s="231">
        <v>37783.17</v>
      </c>
      <c r="G462" s="232">
        <f t="shared" si="167"/>
        <v>0.84898292379747986</v>
      </c>
      <c r="H462" s="230" t="s">
        <v>842</v>
      </c>
      <c r="I462" s="234">
        <f t="shared" si="187"/>
        <v>0</v>
      </c>
      <c r="J462" s="936">
        <f t="shared" si="168"/>
        <v>0</v>
      </c>
      <c r="K462" s="241">
        <f t="shared" si="188"/>
        <v>0</v>
      </c>
      <c r="L462" s="236">
        <f t="shared" si="189"/>
        <v>0</v>
      </c>
      <c r="M462" s="236"/>
      <c r="N462" s="236"/>
      <c r="O462" s="236"/>
      <c r="P462" s="236"/>
      <c r="Q462" s="236"/>
      <c r="R462" s="236"/>
      <c r="S462" s="236"/>
      <c r="T462" s="236">
        <f t="shared" si="190"/>
        <v>0</v>
      </c>
      <c r="U462" s="236"/>
      <c r="V462" s="236"/>
      <c r="W462" s="236"/>
      <c r="X462" s="236"/>
      <c r="Y462" s="236"/>
      <c r="Z462" s="236"/>
      <c r="AA462" s="236"/>
      <c r="AB462" s="236"/>
      <c r="AC462" s="236"/>
      <c r="AD462" s="236"/>
      <c r="AE462" s="236"/>
    </row>
    <row r="463" spans="1:31" x14ac:dyDescent="0.2">
      <c r="A463" s="227"/>
      <c r="B463" s="227"/>
      <c r="C463" s="228" t="s">
        <v>763</v>
      </c>
      <c r="D463" s="229" t="s">
        <v>411</v>
      </c>
      <c r="E463" s="230" t="s">
        <v>843</v>
      </c>
      <c r="F463" s="231">
        <v>8992.58</v>
      </c>
      <c r="G463" s="232">
        <f t="shared" si="167"/>
        <v>0.99453659486086021</v>
      </c>
      <c r="H463" s="230" t="s">
        <v>843</v>
      </c>
      <c r="I463" s="234">
        <f t="shared" si="187"/>
        <v>0</v>
      </c>
      <c r="J463" s="936">
        <f t="shared" si="168"/>
        <v>0</v>
      </c>
      <c r="K463" s="241">
        <f t="shared" si="188"/>
        <v>0</v>
      </c>
      <c r="L463" s="236">
        <f t="shared" si="189"/>
        <v>0</v>
      </c>
      <c r="M463" s="236"/>
      <c r="N463" s="236"/>
      <c r="O463" s="236"/>
      <c r="P463" s="236"/>
      <c r="Q463" s="236"/>
      <c r="R463" s="236"/>
      <c r="S463" s="236"/>
      <c r="T463" s="236">
        <f t="shared" si="190"/>
        <v>0</v>
      </c>
      <c r="U463" s="236"/>
      <c r="V463" s="236"/>
      <c r="W463" s="236"/>
      <c r="X463" s="236"/>
      <c r="Y463" s="236"/>
      <c r="Z463" s="236"/>
      <c r="AA463" s="236"/>
      <c r="AB463" s="236"/>
      <c r="AC463" s="236"/>
      <c r="AD463" s="236"/>
      <c r="AE463" s="236"/>
    </row>
    <row r="464" spans="1:31" x14ac:dyDescent="0.2">
      <c r="A464" s="227"/>
      <c r="B464" s="227"/>
      <c r="C464" s="228" t="s">
        <v>765</v>
      </c>
      <c r="D464" s="229" t="s">
        <v>411</v>
      </c>
      <c r="E464" s="230" t="s">
        <v>844</v>
      </c>
      <c r="F464" s="231">
        <v>88.42</v>
      </c>
      <c r="G464" s="232">
        <f t="shared" ref="G464:G529" si="191">F464/E464</f>
        <v>1</v>
      </c>
      <c r="H464" s="230" t="s">
        <v>844</v>
      </c>
      <c r="I464" s="234">
        <f t="shared" si="187"/>
        <v>0</v>
      </c>
      <c r="J464" s="936">
        <f t="shared" ref="J464:J529" si="192">I464/E464</f>
        <v>0</v>
      </c>
      <c r="K464" s="241">
        <f t="shared" si="188"/>
        <v>0</v>
      </c>
      <c r="L464" s="236">
        <f t="shared" si="189"/>
        <v>0</v>
      </c>
      <c r="M464" s="236"/>
      <c r="N464" s="236"/>
      <c r="O464" s="236"/>
      <c r="P464" s="236"/>
      <c r="Q464" s="236"/>
      <c r="R464" s="236"/>
      <c r="S464" s="236"/>
      <c r="T464" s="236">
        <f t="shared" si="190"/>
        <v>0</v>
      </c>
      <c r="U464" s="236"/>
      <c r="V464" s="236"/>
      <c r="W464" s="236"/>
      <c r="X464" s="236"/>
      <c r="Y464" s="236"/>
      <c r="Z464" s="236"/>
      <c r="AA464" s="236"/>
      <c r="AB464" s="236"/>
      <c r="AC464" s="236"/>
      <c r="AD464" s="236"/>
      <c r="AE464" s="236"/>
    </row>
    <row r="465" spans="1:31" x14ac:dyDescent="0.2">
      <c r="A465" s="227"/>
      <c r="B465" s="227"/>
      <c r="C465" s="228" t="s">
        <v>845</v>
      </c>
      <c r="D465" s="229" t="s">
        <v>525</v>
      </c>
      <c r="E465" s="230" t="s">
        <v>846</v>
      </c>
      <c r="F465" s="231">
        <v>0</v>
      </c>
      <c r="G465" s="232">
        <f t="shared" si="191"/>
        <v>0</v>
      </c>
      <c r="H465" s="230" t="s">
        <v>846</v>
      </c>
      <c r="I465" s="234">
        <f t="shared" si="187"/>
        <v>0</v>
      </c>
      <c r="J465" s="936">
        <f t="shared" si="192"/>
        <v>0</v>
      </c>
      <c r="K465" s="241">
        <f t="shared" si="188"/>
        <v>0</v>
      </c>
      <c r="L465" s="236">
        <f t="shared" si="189"/>
        <v>0</v>
      </c>
      <c r="M465" s="236"/>
      <c r="N465" s="236"/>
      <c r="O465" s="236"/>
      <c r="P465" s="236"/>
      <c r="Q465" s="236"/>
      <c r="R465" s="236"/>
      <c r="S465" s="236"/>
      <c r="T465" s="236">
        <f t="shared" si="190"/>
        <v>0</v>
      </c>
      <c r="U465" s="236"/>
      <c r="V465" s="236"/>
      <c r="W465" s="236"/>
      <c r="X465" s="236"/>
      <c r="Y465" s="236"/>
      <c r="Z465" s="236"/>
      <c r="AA465" s="236"/>
      <c r="AB465" s="236"/>
      <c r="AC465" s="236"/>
      <c r="AD465" s="236"/>
      <c r="AE465" s="236"/>
    </row>
    <row r="466" spans="1:31" x14ac:dyDescent="0.2">
      <c r="A466" s="227"/>
      <c r="B466" s="227"/>
      <c r="C466" s="228" t="s">
        <v>772</v>
      </c>
      <c r="D466" s="229" t="s">
        <v>414</v>
      </c>
      <c r="E466" s="230" t="s">
        <v>847</v>
      </c>
      <c r="F466" s="231">
        <v>199272.73</v>
      </c>
      <c r="G466" s="232">
        <f t="shared" si="191"/>
        <v>0.50473037352170125</v>
      </c>
      <c r="H466" s="230" t="s">
        <v>847</v>
      </c>
      <c r="I466" s="234">
        <f t="shared" si="187"/>
        <v>0</v>
      </c>
      <c r="J466" s="936">
        <f t="shared" si="192"/>
        <v>0</v>
      </c>
      <c r="K466" s="241">
        <f t="shared" si="188"/>
        <v>0</v>
      </c>
      <c r="L466" s="236">
        <f t="shared" si="189"/>
        <v>0</v>
      </c>
      <c r="M466" s="236"/>
      <c r="N466" s="236"/>
      <c r="O466" s="236"/>
      <c r="P466" s="236"/>
      <c r="Q466" s="236"/>
      <c r="R466" s="236"/>
      <c r="S466" s="236"/>
      <c r="T466" s="236">
        <f t="shared" si="190"/>
        <v>0</v>
      </c>
      <c r="U466" s="236"/>
      <c r="V466" s="236"/>
      <c r="W466" s="236"/>
      <c r="X466" s="236"/>
      <c r="Y466" s="236"/>
      <c r="Z466" s="236"/>
      <c r="AA466" s="236"/>
      <c r="AB466" s="236"/>
      <c r="AC466" s="236"/>
      <c r="AD466" s="236"/>
      <c r="AE466" s="236"/>
    </row>
    <row r="467" spans="1:31" x14ac:dyDescent="0.2">
      <c r="A467" s="227"/>
      <c r="B467" s="227"/>
      <c r="C467" s="228" t="s">
        <v>774</v>
      </c>
      <c r="D467" s="229" t="s">
        <v>414</v>
      </c>
      <c r="E467" s="230" t="s">
        <v>848</v>
      </c>
      <c r="F467" s="231">
        <v>8494.74</v>
      </c>
      <c r="G467" s="232">
        <f t="shared" si="191"/>
        <v>0.49461640581330346</v>
      </c>
      <c r="H467" s="230" t="s">
        <v>848</v>
      </c>
      <c r="I467" s="234">
        <f t="shared" si="187"/>
        <v>0</v>
      </c>
      <c r="J467" s="936">
        <f t="shared" si="192"/>
        <v>0</v>
      </c>
      <c r="K467" s="241">
        <f t="shared" si="188"/>
        <v>0</v>
      </c>
      <c r="L467" s="236">
        <f t="shared" si="189"/>
        <v>0</v>
      </c>
      <c r="M467" s="236"/>
      <c r="N467" s="236"/>
      <c r="O467" s="236"/>
      <c r="P467" s="236"/>
      <c r="Q467" s="236"/>
      <c r="R467" s="236"/>
      <c r="S467" s="236"/>
      <c r="T467" s="236">
        <f t="shared" si="190"/>
        <v>0</v>
      </c>
      <c r="U467" s="236"/>
      <c r="V467" s="236"/>
      <c r="W467" s="236"/>
      <c r="X467" s="236"/>
      <c r="Y467" s="236"/>
      <c r="Z467" s="236"/>
      <c r="AA467" s="236"/>
      <c r="AB467" s="236"/>
      <c r="AC467" s="236"/>
      <c r="AD467" s="236"/>
      <c r="AE467" s="236"/>
    </row>
    <row r="468" spans="1:31" x14ac:dyDescent="0.2">
      <c r="A468" s="227"/>
      <c r="B468" s="227"/>
      <c r="C468" s="228" t="s">
        <v>849</v>
      </c>
      <c r="D468" s="229" t="s">
        <v>534</v>
      </c>
      <c r="E468" s="230" t="s">
        <v>850</v>
      </c>
      <c r="F468" s="231">
        <v>2953.62</v>
      </c>
      <c r="G468" s="232">
        <f t="shared" si="191"/>
        <v>0.65498162755268352</v>
      </c>
      <c r="H468" s="230" t="s">
        <v>850</v>
      </c>
      <c r="I468" s="234">
        <f t="shared" si="187"/>
        <v>0</v>
      </c>
      <c r="J468" s="936">
        <f t="shared" si="192"/>
        <v>0</v>
      </c>
      <c r="K468" s="241">
        <f t="shared" si="188"/>
        <v>0</v>
      </c>
      <c r="L468" s="236">
        <f t="shared" si="189"/>
        <v>0</v>
      </c>
      <c r="M468" s="236"/>
      <c r="N468" s="236"/>
      <c r="O468" s="236"/>
      <c r="P468" s="236"/>
      <c r="Q468" s="236"/>
      <c r="R468" s="236"/>
      <c r="S468" s="236"/>
      <c r="T468" s="236">
        <f t="shared" si="190"/>
        <v>0</v>
      </c>
      <c r="U468" s="236"/>
      <c r="V468" s="236"/>
      <c r="W468" s="236"/>
      <c r="X468" s="236"/>
      <c r="Y468" s="236"/>
      <c r="Z468" s="236"/>
      <c r="AA468" s="236"/>
      <c r="AB468" s="236"/>
      <c r="AC468" s="236"/>
      <c r="AD468" s="236"/>
      <c r="AE468" s="236"/>
    </row>
    <row r="469" spans="1:31" x14ac:dyDescent="0.2">
      <c r="A469" s="227"/>
      <c r="B469" s="227"/>
      <c r="C469" s="228" t="s">
        <v>851</v>
      </c>
      <c r="D469" s="229" t="s">
        <v>534</v>
      </c>
      <c r="E469" s="230" t="s">
        <v>852</v>
      </c>
      <c r="F469" s="231">
        <v>347.47</v>
      </c>
      <c r="G469" s="232">
        <f t="shared" si="191"/>
        <v>0.6549488247601456</v>
      </c>
      <c r="H469" s="230" t="s">
        <v>852</v>
      </c>
      <c r="I469" s="234">
        <f t="shared" si="187"/>
        <v>0</v>
      </c>
      <c r="J469" s="936">
        <f t="shared" si="192"/>
        <v>0</v>
      </c>
      <c r="K469" s="241">
        <f t="shared" si="188"/>
        <v>0</v>
      </c>
      <c r="L469" s="236">
        <f t="shared" si="189"/>
        <v>0</v>
      </c>
      <c r="M469" s="236"/>
      <c r="N469" s="236"/>
      <c r="O469" s="236"/>
      <c r="P469" s="236"/>
      <c r="Q469" s="236"/>
      <c r="R469" s="236"/>
      <c r="S469" s="236"/>
      <c r="T469" s="236">
        <f t="shared" si="190"/>
        <v>0</v>
      </c>
      <c r="U469" s="236"/>
      <c r="V469" s="236"/>
      <c r="W469" s="236"/>
      <c r="X469" s="236"/>
      <c r="Y469" s="236"/>
      <c r="Z469" s="236"/>
      <c r="AA469" s="236"/>
      <c r="AB469" s="236"/>
      <c r="AC469" s="236"/>
      <c r="AD469" s="236"/>
      <c r="AE469" s="236"/>
    </row>
    <row r="470" spans="1:31" x14ac:dyDescent="0.2">
      <c r="A470" s="285"/>
      <c r="B470" s="285"/>
      <c r="C470" s="286" t="s">
        <v>853</v>
      </c>
      <c r="D470" s="287" t="s">
        <v>417</v>
      </c>
      <c r="E470" s="288" t="s">
        <v>854</v>
      </c>
      <c r="F470" s="289">
        <v>0</v>
      </c>
      <c r="G470" s="267">
        <f t="shared" si="191"/>
        <v>0</v>
      </c>
      <c r="H470" s="288" t="s">
        <v>854</v>
      </c>
      <c r="I470" s="234">
        <f t="shared" si="187"/>
        <v>0</v>
      </c>
      <c r="J470" s="936">
        <f t="shared" si="192"/>
        <v>0</v>
      </c>
      <c r="K470" s="241">
        <f t="shared" si="188"/>
        <v>0</v>
      </c>
      <c r="L470" s="236">
        <f t="shared" si="189"/>
        <v>0</v>
      </c>
      <c r="M470" s="290"/>
      <c r="N470" s="290"/>
      <c r="O470" s="290"/>
      <c r="P470" s="290"/>
      <c r="Q470" s="290"/>
      <c r="R470" s="290"/>
      <c r="S470" s="290"/>
      <c r="T470" s="236">
        <f t="shared" si="190"/>
        <v>0</v>
      </c>
      <c r="U470" s="290"/>
      <c r="V470" s="290"/>
      <c r="W470" s="290"/>
      <c r="X470" s="290"/>
      <c r="Y470" s="290"/>
      <c r="Z470" s="290"/>
      <c r="AA470" s="290"/>
      <c r="AB470" s="290"/>
      <c r="AC470" s="290"/>
      <c r="AD470" s="290"/>
      <c r="AE470" s="290"/>
    </row>
    <row r="471" spans="1:31" x14ac:dyDescent="0.2">
      <c r="A471" s="213" t="s">
        <v>318</v>
      </c>
      <c r="B471" s="213"/>
      <c r="C471" s="213"/>
      <c r="D471" s="214" t="s">
        <v>319</v>
      </c>
      <c r="E471" s="215">
        <f>E472+E484+E486</f>
        <v>1037443</v>
      </c>
      <c r="F471" s="273">
        <f t="shared" ref="F471:AE471" si="193">F472+F484+F486</f>
        <v>667737.41999999993</v>
      </c>
      <c r="G471" s="246">
        <f t="shared" si="191"/>
        <v>0.64363769382992597</v>
      </c>
      <c r="H471" s="273">
        <f t="shared" si="193"/>
        <v>1006047</v>
      </c>
      <c r="I471" s="274">
        <f t="shared" si="193"/>
        <v>887858</v>
      </c>
      <c r="J471" s="938">
        <f t="shared" si="192"/>
        <v>0.85581376518999119</v>
      </c>
      <c r="K471" s="924">
        <f t="shared" si="193"/>
        <v>887858</v>
      </c>
      <c r="L471" s="215">
        <f t="shared" si="193"/>
        <v>0</v>
      </c>
      <c r="M471" s="215">
        <f t="shared" si="193"/>
        <v>0</v>
      </c>
      <c r="N471" s="215">
        <f t="shared" si="193"/>
        <v>0</v>
      </c>
      <c r="O471" s="215">
        <f t="shared" si="193"/>
        <v>0</v>
      </c>
      <c r="P471" s="215">
        <f t="shared" si="193"/>
        <v>0</v>
      </c>
      <c r="Q471" s="215">
        <f t="shared" si="193"/>
        <v>0</v>
      </c>
      <c r="R471" s="218">
        <f>R472+R484+R486</f>
        <v>0</v>
      </c>
      <c r="S471" s="215">
        <f t="shared" si="193"/>
        <v>0</v>
      </c>
      <c r="T471" s="215">
        <f t="shared" si="193"/>
        <v>887858</v>
      </c>
      <c r="U471" s="215">
        <f t="shared" si="193"/>
        <v>189744</v>
      </c>
      <c r="V471" s="215">
        <f t="shared" si="193"/>
        <v>246766</v>
      </c>
      <c r="W471" s="215">
        <f t="shared" si="193"/>
        <v>55787</v>
      </c>
      <c r="X471" s="215">
        <f t="shared" si="193"/>
        <v>79858</v>
      </c>
      <c r="Y471" s="215">
        <f t="shared" si="193"/>
        <v>240445</v>
      </c>
      <c r="Z471" s="215">
        <f t="shared" si="193"/>
        <v>52258</v>
      </c>
      <c r="AA471" s="215">
        <f t="shared" si="193"/>
        <v>0</v>
      </c>
      <c r="AB471" s="215">
        <f t="shared" si="193"/>
        <v>0</v>
      </c>
      <c r="AC471" s="215">
        <f t="shared" si="193"/>
        <v>0</v>
      </c>
      <c r="AD471" s="215">
        <f t="shared" si="193"/>
        <v>23000</v>
      </c>
      <c r="AE471" s="215">
        <f t="shared" si="193"/>
        <v>0</v>
      </c>
    </row>
    <row r="472" spans="1:31" ht="15" x14ac:dyDescent="0.2">
      <c r="A472" s="219"/>
      <c r="B472" s="220" t="s">
        <v>855</v>
      </c>
      <c r="C472" s="221"/>
      <c r="D472" s="222" t="s">
        <v>856</v>
      </c>
      <c r="E472" s="223">
        <f>E473+E474+E475+E476+E477+E478+E479+E480+E481+E482+E483</f>
        <v>894124</v>
      </c>
      <c r="F472" s="239">
        <f t="shared" ref="F472:AE472" si="194">F473+F474+F475+F476+F477+F478+F479+F480+F481+F482+F483</f>
        <v>568888.41999999993</v>
      </c>
      <c r="G472" s="238">
        <f t="shared" si="191"/>
        <v>0.63625226478653962</v>
      </c>
      <c r="H472" s="239">
        <f t="shared" si="194"/>
        <v>894124</v>
      </c>
      <c r="I472" s="240">
        <f t="shared" si="194"/>
        <v>848058</v>
      </c>
      <c r="J472" s="937">
        <f t="shared" si="192"/>
        <v>0.94847918185844471</v>
      </c>
      <c r="K472" s="925">
        <f t="shared" si="194"/>
        <v>848058</v>
      </c>
      <c r="L472" s="223">
        <f t="shared" si="194"/>
        <v>0</v>
      </c>
      <c r="M472" s="223">
        <f t="shared" si="194"/>
        <v>0</v>
      </c>
      <c r="N472" s="223">
        <f t="shared" si="194"/>
        <v>0</v>
      </c>
      <c r="O472" s="223">
        <f t="shared" si="194"/>
        <v>0</v>
      </c>
      <c r="P472" s="223">
        <f t="shared" si="194"/>
        <v>0</v>
      </c>
      <c r="Q472" s="223">
        <f t="shared" si="194"/>
        <v>0</v>
      </c>
      <c r="R472" s="226">
        <f>R473+R474+R475+R476+R477+R478+R479+R480+R481+R482+R483</f>
        <v>0</v>
      </c>
      <c r="S472" s="223">
        <f t="shared" si="194"/>
        <v>0</v>
      </c>
      <c r="T472" s="223">
        <f t="shared" si="194"/>
        <v>848058</v>
      </c>
      <c r="U472" s="223">
        <f t="shared" si="194"/>
        <v>184744</v>
      </c>
      <c r="V472" s="223">
        <f t="shared" si="194"/>
        <v>240766</v>
      </c>
      <c r="W472" s="223">
        <f t="shared" si="194"/>
        <v>54487</v>
      </c>
      <c r="X472" s="223">
        <f t="shared" si="194"/>
        <v>78358</v>
      </c>
      <c r="Y472" s="223">
        <f t="shared" si="194"/>
        <v>238445</v>
      </c>
      <c r="Z472" s="223">
        <f t="shared" si="194"/>
        <v>51258</v>
      </c>
      <c r="AA472" s="223">
        <f t="shared" si="194"/>
        <v>0</v>
      </c>
      <c r="AB472" s="223">
        <f t="shared" si="194"/>
        <v>0</v>
      </c>
      <c r="AC472" s="223">
        <f t="shared" si="194"/>
        <v>0</v>
      </c>
      <c r="AD472" s="223">
        <f t="shared" si="194"/>
        <v>0</v>
      </c>
      <c r="AE472" s="223">
        <f t="shared" si="194"/>
        <v>0</v>
      </c>
    </row>
    <row r="473" spans="1:31" x14ac:dyDescent="0.2">
      <c r="A473" s="227"/>
      <c r="B473" s="227"/>
      <c r="C473" s="228" t="s">
        <v>491</v>
      </c>
      <c r="D473" s="229" t="s">
        <v>492</v>
      </c>
      <c r="E473" s="230" t="s">
        <v>857</v>
      </c>
      <c r="F473" s="231">
        <v>1379.94</v>
      </c>
      <c r="G473" s="232">
        <f t="shared" si="191"/>
        <v>0.36965979105277258</v>
      </c>
      <c r="H473" s="230" t="s">
        <v>857</v>
      </c>
      <c r="I473" s="234">
        <f>K473</f>
        <v>3717</v>
      </c>
      <c r="J473" s="936">
        <f t="shared" si="192"/>
        <v>0.99571390302705598</v>
      </c>
      <c r="K473" s="241">
        <f>L473+S473+T473</f>
        <v>3717</v>
      </c>
      <c r="L473" s="236">
        <f>SUM(M473:R473)</f>
        <v>0</v>
      </c>
      <c r="M473" s="236"/>
      <c r="N473" s="236"/>
      <c r="O473" s="236"/>
      <c r="P473" s="236"/>
      <c r="Q473" s="236"/>
      <c r="R473" s="236"/>
      <c r="S473" s="236"/>
      <c r="T473" s="236">
        <f>SUM(U473:AD473)</f>
        <v>3717</v>
      </c>
      <c r="U473" s="236">
        <v>900</v>
      </c>
      <c r="V473" s="236">
        <v>611</v>
      </c>
      <c r="W473" s="236">
        <v>615</v>
      </c>
      <c r="X473" s="236">
        <v>668</v>
      </c>
      <c r="Y473" s="236">
        <v>707</v>
      </c>
      <c r="Z473" s="236">
        <v>216</v>
      </c>
      <c r="AA473" s="236"/>
      <c r="AB473" s="236"/>
      <c r="AC473" s="236"/>
      <c r="AD473" s="236"/>
      <c r="AE473" s="236"/>
    </row>
    <row r="474" spans="1:31" x14ac:dyDescent="0.2">
      <c r="A474" s="227"/>
      <c r="B474" s="227"/>
      <c r="C474" s="228" t="s">
        <v>401</v>
      </c>
      <c r="D474" s="229" t="s">
        <v>402</v>
      </c>
      <c r="E474" s="230" t="s">
        <v>858</v>
      </c>
      <c r="F474" s="231">
        <v>403441.67</v>
      </c>
      <c r="G474" s="232">
        <f t="shared" si="191"/>
        <v>0.62959062109862673</v>
      </c>
      <c r="H474" s="230" t="s">
        <v>858</v>
      </c>
      <c r="I474" s="234">
        <f t="shared" ref="I474:I483" si="195">K474</f>
        <v>593300</v>
      </c>
      <c r="J474" s="936">
        <f t="shared" si="192"/>
        <v>0.92587390761548061</v>
      </c>
      <c r="K474" s="241">
        <f t="shared" ref="K474:K483" si="196">L474+S474+T474</f>
        <v>593300</v>
      </c>
      <c r="L474" s="236">
        <f t="shared" ref="L474:L483" si="197">SUM(M474:R474)</f>
        <v>0</v>
      </c>
      <c r="M474" s="236"/>
      <c r="N474" s="236"/>
      <c r="O474" s="236"/>
      <c r="P474" s="236"/>
      <c r="Q474" s="236"/>
      <c r="R474" s="236"/>
      <c r="S474" s="236"/>
      <c r="T474" s="236">
        <f t="shared" ref="T474:T483" si="198">SUM(U474:AD474)</f>
        <v>593300</v>
      </c>
      <c r="U474" s="236">
        <v>121400</v>
      </c>
      <c r="V474" s="236">
        <v>170200</v>
      </c>
      <c r="W474" s="236">
        <v>38700</v>
      </c>
      <c r="X474" s="236">
        <v>56500</v>
      </c>
      <c r="Y474" s="236">
        <v>167500</v>
      </c>
      <c r="Z474" s="236">
        <v>39000</v>
      </c>
      <c r="AA474" s="236"/>
      <c r="AB474" s="236"/>
      <c r="AC474" s="236"/>
      <c r="AD474" s="236"/>
      <c r="AE474" s="236"/>
    </row>
    <row r="475" spans="1:31" x14ac:dyDescent="0.2">
      <c r="A475" s="227"/>
      <c r="B475" s="227"/>
      <c r="C475" s="228" t="s">
        <v>495</v>
      </c>
      <c r="D475" s="229" t="s">
        <v>496</v>
      </c>
      <c r="E475" s="230" t="s">
        <v>859</v>
      </c>
      <c r="F475" s="231">
        <v>50836</v>
      </c>
      <c r="G475" s="232">
        <f t="shared" si="191"/>
        <v>1</v>
      </c>
      <c r="H475" s="230" t="s">
        <v>859</v>
      </c>
      <c r="I475" s="234">
        <f t="shared" si="195"/>
        <v>46270</v>
      </c>
      <c r="J475" s="936">
        <f t="shared" si="192"/>
        <v>0.91018176095680225</v>
      </c>
      <c r="K475" s="241">
        <f t="shared" si="196"/>
        <v>46270</v>
      </c>
      <c r="L475" s="236">
        <f t="shared" si="197"/>
        <v>0</v>
      </c>
      <c r="M475" s="236"/>
      <c r="N475" s="236"/>
      <c r="O475" s="236"/>
      <c r="P475" s="236"/>
      <c r="Q475" s="236"/>
      <c r="R475" s="236"/>
      <c r="S475" s="236"/>
      <c r="T475" s="236">
        <f t="shared" si="198"/>
        <v>46270</v>
      </c>
      <c r="U475" s="236">
        <v>8700</v>
      </c>
      <c r="V475" s="236">
        <v>16930</v>
      </c>
      <c r="W475" s="236">
        <v>2273</v>
      </c>
      <c r="X475" s="236">
        <v>3377</v>
      </c>
      <c r="Y475" s="236">
        <v>11290</v>
      </c>
      <c r="Z475" s="236">
        <v>3700</v>
      </c>
      <c r="AA475" s="236"/>
      <c r="AB475" s="236"/>
      <c r="AC475" s="236"/>
      <c r="AD475" s="236"/>
      <c r="AE475" s="236"/>
    </row>
    <row r="476" spans="1:31" x14ac:dyDescent="0.2">
      <c r="A476" s="227"/>
      <c r="B476" s="227"/>
      <c r="C476" s="228" t="s">
        <v>404</v>
      </c>
      <c r="D476" s="229" t="s">
        <v>405</v>
      </c>
      <c r="E476" s="230" t="s">
        <v>860</v>
      </c>
      <c r="F476" s="231">
        <v>69366.990000000005</v>
      </c>
      <c r="G476" s="232">
        <f t="shared" si="191"/>
        <v>0.59293093426788623</v>
      </c>
      <c r="H476" s="230" t="s">
        <v>860</v>
      </c>
      <c r="I476" s="234">
        <f t="shared" si="195"/>
        <v>108489</v>
      </c>
      <c r="J476" s="936">
        <f t="shared" si="192"/>
        <v>0.9273356697153603</v>
      </c>
      <c r="K476" s="241">
        <f t="shared" si="196"/>
        <v>108489</v>
      </c>
      <c r="L476" s="236">
        <f t="shared" si="197"/>
        <v>0</v>
      </c>
      <c r="M476" s="236"/>
      <c r="N476" s="236"/>
      <c r="O476" s="236"/>
      <c r="P476" s="236"/>
      <c r="Q476" s="236"/>
      <c r="R476" s="236"/>
      <c r="S476" s="236"/>
      <c r="T476" s="236">
        <f t="shared" si="198"/>
        <v>108489</v>
      </c>
      <c r="U476" s="236">
        <v>22088</v>
      </c>
      <c r="V476" s="236">
        <v>31197</v>
      </c>
      <c r="W476" s="236">
        <v>7044</v>
      </c>
      <c r="X476" s="236">
        <v>10241</v>
      </c>
      <c r="Y476" s="236">
        <v>30622</v>
      </c>
      <c r="Z476" s="236">
        <v>7297</v>
      </c>
      <c r="AA476" s="236"/>
      <c r="AB476" s="236"/>
      <c r="AC476" s="236"/>
      <c r="AD476" s="236"/>
      <c r="AE476" s="236"/>
    </row>
    <row r="477" spans="1:31" x14ac:dyDescent="0.2">
      <c r="A477" s="227"/>
      <c r="B477" s="227"/>
      <c r="C477" s="228" t="s">
        <v>407</v>
      </c>
      <c r="D477" s="229" t="s">
        <v>408</v>
      </c>
      <c r="E477" s="230" t="s">
        <v>861</v>
      </c>
      <c r="F477" s="231">
        <v>9150.51</v>
      </c>
      <c r="G477" s="232">
        <f t="shared" si="191"/>
        <v>0.54754128769746291</v>
      </c>
      <c r="H477" s="230" t="s">
        <v>861</v>
      </c>
      <c r="I477" s="234">
        <f t="shared" si="195"/>
        <v>15474</v>
      </c>
      <c r="J477" s="936">
        <f t="shared" si="192"/>
        <v>0.9259214935375778</v>
      </c>
      <c r="K477" s="241">
        <f t="shared" si="196"/>
        <v>15474</v>
      </c>
      <c r="L477" s="236">
        <f t="shared" si="197"/>
        <v>0</v>
      </c>
      <c r="M477" s="236"/>
      <c r="N477" s="236"/>
      <c r="O477" s="236"/>
      <c r="P477" s="236"/>
      <c r="Q477" s="236"/>
      <c r="R477" s="236"/>
      <c r="S477" s="236"/>
      <c r="T477" s="236">
        <f t="shared" si="198"/>
        <v>15474</v>
      </c>
      <c r="U477" s="236">
        <v>3148</v>
      </c>
      <c r="V477" s="236">
        <v>4446</v>
      </c>
      <c r="W477" s="236">
        <v>1004</v>
      </c>
      <c r="X477" s="236">
        <v>1467</v>
      </c>
      <c r="Y477" s="236">
        <v>4364</v>
      </c>
      <c r="Z477" s="236">
        <v>1045</v>
      </c>
      <c r="AA477" s="236"/>
      <c r="AB477" s="236"/>
      <c r="AC477" s="236"/>
      <c r="AD477" s="236"/>
      <c r="AE477" s="236"/>
    </row>
    <row r="478" spans="1:31" x14ac:dyDescent="0.2">
      <c r="A478" s="227"/>
      <c r="B478" s="227"/>
      <c r="C478" s="228" t="s">
        <v>410</v>
      </c>
      <c r="D478" s="229" t="s">
        <v>411</v>
      </c>
      <c r="E478" s="230" t="s">
        <v>862</v>
      </c>
      <c r="F478" s="231">
        <v>2048.6</v>
      </c>
      <c r="G478" s="232">
        <f t="shared" si="191"/>
        <v>0.14031506849315067</v>
      </c>
      <c r="H478" s="230" t="s">
        <v>862</v>
      </c>
      <c r="I478" s="234">
        <f t="shared" si="195"/>
        <v>16400</v>
      </c>
      <c r="J478" s="936">
        <f t="shared" si="192"/>
        <v>1.1232876712328768</v>
      </c>
      <c r="K478" s="241">
        <f t="shared" si="196"/>
        <v>16400</v>
      </c>
      <c r="L478" s="236">
        <f t="shared" si="197"/>
        <v>0</v>
      </c>
      <c r="M478" s="236"/>
      <c r="N478" s="236"/>
      <c r="O478" s="236"/>
      <c r="P478" s="236"/>
      <c r="Q478" s="236"/>
      <c r="R478" s="236"/>
      <c r="S478" s="236"/>
      <c r="T478" s="236">
        <f t="shared" si="198"/>
        <v>16400</v>
      </c>
      <c r="U478" s="236">
        <v>5700</v>
      </c>
      <c r="V478" s="236">
        <v>1700</v>
      </c>
      <c r="W478" s="236">
        <v>1000</v>
      </c>
      <c r="X478" s="236"/>
      <c r="Y478" s="236">
        <v>8000</v>
      </c>
      <c r="Z478" s="236"/>
      <c r="AA478" s="236"/>
      <c r="AB478" s="236"/>
      <c r="AC478" s="236"/>
      <c r="AD478" s="236"/>
      <c r="AE478" s="236"/>
    </row>
    <row r="479" spans="1:31" x14ac:dyDescent="0.2">
      <c r="A479" s="227"/>
      <c r="B479" s="227"/>
      <c r="C479" s="228" t="s">
        <v>630</v>
      </c>
      <c r="D479" s="229" t="s">
        <v>631</v>
      </c>
      <c r="E479" s="230" t="s">
        <v>509</v>
      </c>
      <c r="F479" s="231">
        <v>0</v>
      </c>
      <c r="G479" s="232">
        <f t="shared" si="191"/>
        <v>0</v>
      </c>
      <c r="H479" s="230" t="s">
        <v>509</v>
      </c>
      <c r="I479" s="234">
        <f t="shared" si="195"/>
        <v>9200</v>
      </c>
      <c r="J479" s="936">
        <f t="shared" si="192"/>
        <v>1.0222222222222221</v>
      </c>
      <c r="K479" s="241">
        <f t="shared" si="196"/>
        <v>9200</v>
      </c>
      <c r="L479" s="236">
        <f t="shared" si="197"/>
        <v>0</v>
      </c>
      <c r="M479" s="236"/>
      <c r="N479" s="236"/>
      <c r="O479" s="236"/>
      <c r="P479" s="236"/>
      <c r="Q479" s="236"/>
      <c r="R479" s="236"/>
      <c r="S479" s="236"/>
      <c r="T479" s="236">
        <f t="shared" si="198"/>
        <v>9200</v>
      </c>
      <c r="U479" s="236">
        <v>1200</v>
      </c>
      <c r="V479" s="236">
        <v>6000</v>
      </c>
      <c r="W479" s="236">
        <v>1000</v>
      </c>
      <c r="X479" s="236"/>
      <c r="Y479" s="236">
        <v>1000</v>
      </c>
      <c r="Z479" s="236"/>
      <c r="AA479" s="236"/>
      <c r="AB479" s="236"/>
      <c r="AC479" s="236"/>
      <c r="AD479" s="236"/>
      <c r="AE479" s="236"/>
    </row>
    <row r="480" spans="1:31" x14ac:dyDescent="0.2">
      <c r="A480" s="227"/>
      <c r="B480" s="227"/>
      <c r="C480" s="228" t="s">
        <v>424</v>
      </c>
      <c r="D480" s="229" t="s">
        <v>425</v>
      </c>
      <c r="E480" s="230" t="s">
        <v>512</v>
      </c>
      <c r="F480" s="231">
        <v>3188.97</v>
      </c>
      <c r="G480" s="232">
        <f t="shared" si="191"/>
        <v>0.47596567164179099</v>
      </c>
      <c r="H480" s="230" t="s">
        <v>512</v>
      </c>
      <c r="I480" s="234">
        <f t="shared" si="195"/>
        <v>13000</v>
      </c>
      <c r="J480" s="936">
        <f t="shared" si="192"/>
        <v>1.9402985074626866</v>
      </c>
      <c r="K480" s="241">
        <f t="shared" si="196"/>
        <v>13000</v>
      </c>
      <c r="L480" s="236">
        <f t="shared" si="197"/>
        <v>0</v>
      </c>
      <c r="M480" s="236"/>
      <c r="N480" s="236"/>
      <c r="O480" s="236"/>
      <c r="P480" s="236"/>
      <c r="Q480" s="236"/>
      <c r="R480" s="236"/>
      <c r="S480" s="236"/>
      <c r="T480" s="236">
        <f t="shared" si="198"/>
        <v>13000</v>
      </c>
      <c r="U480" s="236">
        <v>7000</v>
      </c>
      <c r="V480" s="236"/>
      <c r="W480" s="236"/>
      <c r="X480" s="236"/>
      <c r="Y480" s="236">
        <v>6000</v>
      </c>
      <c r="Z480" s="236"/>
      <c r="AA480" s="236"/>
      <c r="AB480" s="236"/>
      <c r="AC480" s="236"/>
      <c r="AD480" s="236"/>
      <c r="AE480" s="236"/>
    </row>
    <row r="481" spans="1:31" x14ac:dyDescent="0.2">
      <c r="A481" s="227"/>
      <c r="B481" s="227"/>
      <c r="C481" s="228" t="s">
        <v>438</v>
      </c>
      <c r="D481" s="229" t="s">
        <v>439</v>
      </c>
      <c r="E481" s="230" t="s">
        <v>422</v>
      </c>
      <c r="F481" s="231">
        <v>935.73</v>
      </c>
      <c r="G481" s="232">
        <f t="shared" si="191"/>
        <v>0.20794000000000001</v>
      </c>
      <c r="H481" s="230" t="s">
        <v>422</v>
      </c>
      <c r="I481" s="234">
        <f t="shared" si="195"/>
        <v>3000</v>
      </c>
      <c r="J481" s="936">
        <f t="shared" si="192"/>
        <v>0.66666666666666663</v>
      </c>
      <c r="K481" s="241">
        <f t="shared" si="196"/>
        <v>3000</v>
      </c>
      <c r="L481" s="236">
        <f t="shared" si="197"/>
        <v>0</v>
      </c>
      <c r="M481" s="236"/>
      <c r="N481" s="236"/>
      <c r="O481" s="236"/>
      <c r="P481" s="236"/>
      <c r="Q481" s="236"/>
      <c r="R481" s="236"/>
      <c r="S481" s="236"/>
      <c r="T481" s="236">
        <f t="shared" si="198"/>
        <v>3000</v>
      </c>
      <c r="U481" s="236">
        <v>3000</v>
      </c>
      <c r="V481" s="236"/>
      <c r="W481" s="236"/>
      <c r="X481" s="236"/>
      <c r="Y481" s="236"/>
      <c r="Z481" s="236"/>
      <c r="AA481" s="236"/>
      <c r="AB481" s="236"/>
      <c r="AC481" s="236"/>
      <c r="AD481" s="236"/>
      <c r="AE481" s="236"/>
    </row>
    <row r="482" spans="1:31" x14ac:dyDescent="0.2">
      <c r="A482" s="227"/>
      <c r="B482" s="227"/>
      <c r="C482" s="228" t="s">
        <v>413</v>
      </c>
      <c r="D482" s="229" t="s">
        <v>414</v>
      </c>
      <c r="E482" s="230" t="s">
        <v>762</v>
      </c>
      <c r="F482" s="231">
        <v>1487.01</v>
      </c>
      <c r="G482" s="232">
        <f t="shared" si="191"/>
        <v>0.46469062500000002</v>
      </c>
      <c r="H482" s="230" t="s">
        <v>762</v>
      </c>
      <c r="I482" s="234">
        <f t="shared" si="195"/>
        <v>3400</v>
      </c>
      <c r="J482" s="936">
        <f t="shared" si="192"/>
        <v>1.0625</v>
      </c>
      <c r="K482" s="241">
        <f t="shared" si="196"/>
        <v>3400</v>
      </c>
      <c r="L482" s="236">
        <f t="shared" si="197"/>
        <v>0</v>
      </c>
      <c r="M482" s="236"/>
      <c r="N482" s="236"/>
      <c r="O482" s="236"/>
      <c r="P482" s="236"/>
      <c r="Q482" s="236"/>
      <c r="R482" s="236"/>
      <c r="S482" s="236"/>
      <c r="T482" s="236">
        <f t="shared" si="198"/>
        <v>3400</v>
      </c>
      <c r="U482" s="236">
        <v>3400</v>
      </c>
      <c r="V482" s="236"/>
      <c r="W482" s="236"/>
      <c r="X482" s="236"/>
      <c r="Y482" s="236"/>
      <c r="Z482" s="236"/>
      <c r="AA482" s="236"/>
      <c r="AB482" s="236"/>
      <c r="AC482" s="236"/>
      <c r="AD482" s="236"/>
      <c r="AE482" s="236"/>
    </row>
    <row r="483" spans="1:31" x14ac:dyDescent="0.2">
      <c r="A483" s="227"/>
      <c r="B483" s="227"/>
      <c r="C483" s="228" t="s">
        <v>537</v>
      </c>
      <c r="D483" s="229" t="s">
        <v>538</v>
      </c>
      <c r="E483" s="230" t="s">
        <v>863</v>
      </c>
      <c r="F483" s="231">
        <v>27053</v>
      </c>
      <c r="G483" s="232">
        <f t="shared" si="191"/>
        <v>1</v>
      </c>
      <c r="H483" s="230" t="s">
        <v>863</v>
      </c>
      <c r="I483" s="234">
        <f t="shared" si="195"/>
        <v>35808</v>
      </c>
      <c r="J483" s="936">
        <f t="shared" si="192"/>
        <v>1.3236239973385577</v>
      </c>
      <c r="K483" s="241">
        <f t="shared" si="196"/>
        <v>35808</v>
      </c>
      <c r="L483" s="236">
        <f t="shared" si="197"/>
        <v>0</v>
      </c>
      <c r="M483" s="236"/>
      <c r="N483" s="236"/>
      <c r="O483" s="236"/>
      <c r="P483" s="236"/>
      <c r="Q483" s="236"/>
      <c r="R483" s="236"/>
      <c r="S483" s="236"/>
      <c r="T483" s="236">
        <f t="shared" si="198"/>
        <v>35808</v>
      </c>
      <c r="U483" s="236">
        <v>8208</v>
      </c>
      <c r="V483" s="236">
        <v>9682</v>
      </c>
      <c r="W483" s="236">
        <v>2851</v>
      </c>
      <c r="X483" s="236">
        <v>6105</v>
      </c>
      <c r="Y483" s="236">
        <v>8962</v>
      </c>
      <c r="Z483" s="236"/>
      <c r="AA483" s="236"/>
      <c r="AB483" s="236"/>
      <c r="AC483" s="236"/>
      <c r="AD483" s="236"/>
      <c r="AE483" s="236"/>
    </row>
    <row r="484" spans="1:31" ht="15" x14ac:dyDescent="0.2">
      <c r="A484" s="219"/>
      <c r="B484" s="220" t="s">
        <v>320</v>
      </c>
      <c r="C484" s="221"/>
      <c r="D484" s="222" t="s">
        <v>321</v>
      </c>
      <c r="E484" s="223" t="str">
        <f>E485</f>
        <v>128 519,00</v>
      </c>
      <c r="F484" s="239">
        <f t="shared" ref="F484:AE484" si="199">F485</f>
        <v>85649</v>
      </c>
      <c r="G484" s="238">
        <f t="shared" si="191"/>
        <v>0.66643064449614453</v>
      </c>
      <c r="H484" s="239">
        <f t="shared" si="199"/>
        <v>97123</v>
      </c>
      <c r="I484" s="240">
        <f t="shared" si="199"/>
        <v>23000</v>
      </c>
      <c r="J484" s="937">
        <f t="shared" si="192"/>
        <v>0.17896186556073421</v>
      </c>
      <c r="K484" s="925">
        <f t="shared" si="199"/>
        <v>23000</v>
      </c>
      <c r="L484" s="223">
        <f t="shared" si="199"/>
        <v>0</v>
      </c>
      <c r="M484" s="223">
        <f t="shared" si="199"/>
        <v>0</v>
      </c>
      <c r="N484" s="223">
        <f t="shared" si="199"/>
        <v>0</v>
      </c>
      <c r="O484" s="223">
        <f t="shared" si="199"/>
        <v>0</v>
      </c>
      <c r="P484" s="223">
        <f t="shared" si="199"/>
        <v>0</v>
      </c>
      <c r="Q484" s="223">
        <f t="shared" si="199"/>
        <v>0</v>
      </c>
      <c r="R484" s="226">
        <f>R485</f>
        <v>0</v>
      </c>
      <c r="S484" s="223">
        <f t="shared" si="199"/>
        <v>0</v>
      </c>
      <c r="T484" s="223">
        <f t="shared" si="199"/>
        <v>23000</v>
      </c>
      <c r="U484" s="223">
        <f t="shared" si="199"/>
        <v>0</v>
      </c>
      <c r="V484" s="223">
        <f t="shared" si="199"/>
        <v>0</v>
      </c>
      <c r="W484" s="223">
        <f t="shared" si="199"/>
        <v>0</v>
      </c>
      <c r="X484" s="223">
        <f t="shared" si="199"/>
        <v>0</v>
      </c>
      <c r="Y484" s="223">
        <f t="shared" si="199"/>
        <v>0</v>
      </c>
      <c r="Z484" s="223">
        <f t="shared" si="199"/>
        <v>0</v>
      </c>
      <c r="AA484" s="223">
        <f t="shared" si="199"/>
        <v>0</v>
      </c>
      <c r="AB484" s="223">
        <f t="shared" si="199"/>
        <v>0</v>
      </c>
      <c r="AC484" s="223">
        <f t="shared" si="199"/>
        <v>0</v>
      </c>
      <c r="AD484" s="223">
        <f t="shared" si="199"/>
        <v>23000</v>
      </c>
      <c r="AE484" s="223">
        <f t="shared" si="199"/>
        <v>0</v>
      </c>
    </row>
    <row r="485" spans="1:31" x14ac:dyDescent="0.2">
      <c r="A485" s="227"/>
      <c r="B485" s="227"/>
      <c r="C485" s="228" t="s">
        <v>864</v>
      </c>
      <c r="D485" s="229" t="s">
        <v>743</v>
      </c>
      <c r="E485" s="230" t="s">
        <v>865</v>
      </c>
      <c r="F485" s="231">
        <v>85649</v>
      </c>
      <c r="G485" s="232">
        <f t="shared" si="191"/>
        <v>0.66643064449614453</v>
      </c>
      <c r="H485" s="233">
        <v>97123</v>
      </c>
      <c r="I485" s="234">
        <f>K485</f>
        <v>23000</v>
      </c>
      <c r="J485" s="936">
        <f t="shared" si="192"/>
        <v>0.17896186556073421</v>
      </c>
      <c r="K485" s="241">
        <f>L485+S485+T485</f>
        <v>23000</v>
      </c>
      <c r="L485" s="236">
        <f>SUM(M485:R485)</f>
        <v>0</v>
      </c>
      <c r="M485" s="236"/>
      <c r="N485" s="236"/>
      <c r="O485" s="236"/>
      <c r="P485" s="236"/>
      <c r="Q485" s="236"/>
      <c r="R485" s="236"/>
      <c r="S485" s="236"/>
      <c r="T485" s="236">
        <f>SUM(U485:AD485)</f>
        <v>23000</v>
      </c>
      <c r="U485" s="236">
        <v>0</v>
      </c>
      <c r="V485" s="236"/>
      <c r="W485" s="236"/>
      <c r="X485" s="236"/>
      <c r="Y485" s="236"/>
      <c r="Z485" s="236"/>
      <c r="AA485" s="236"/>
      <c r="AB485" s="236"/>
      <c r="AC485" s="236"/>
      <c r="AD485" s="236">
        <v>23000</v>
      </c>
      <c r="AE485" s="236"/>
    </row>
    <row r="486" spans="1:31" ht="22.5" x14ac:dyDescent="0.2">
      <c r="A486" s="219"/>
      <c r="B486" s="220" t="s">
        <v>866</v>
      </c>
      <c r="C486" s="221"/>
      <c r="D486" s="222" t="s">
        <v>867</v>
      </c>
      <c r="E486" s="223" t="str">
        <f>E487</f>
        <v>14 800,00</v>
      </c>
      <c r="F486" s="239">
        <f t="shared" ref="F486:AE486" si="200">F487</f>
        <v>13200</v>
      </c>
      <c r="G486" s="238">
        <f t="shared" si="191"/>
        <v>0.89189189189189189</v>
      </c>
      <c r="H486" s="239">
        <f t="shared" si="200"/>
        <v>14800</v>
      </c>
      <c r="I486" s="240">
        <f t="shared" si="200"/>
        <v>16800</v>
      </c>
      <c r="J486" s="937">
        <f t="shared" si="192"/>
        <v>1.1351351351351351</v>
      </c>
      <c r="K486" s="925">
        <f t="shared" si="200"/>
        <v>16800</v>
      </c>
      <c r="L486" s="223">
        <f t="shared" si="200"/>
        <v>0</v>
      </c>
      <c r="M486" s="223">
        <f t="shared" si="200"/>
        <v>0</v>
      </c>
      <c r="N486" s="223">
        <f t="shared" si="200"/>
        <v>0</v>
      </c>
      <c r="O486" s="223">
        <f t="shared" si="200"/>
        <v>0</v>
      </c>
      <c r="P486" s="223">
        <f t="shared" si="200"/>
        <v>0</v>
      </c>
      <c r="Q486" s="223">
        <f t="shared" si="200"/>
        <v>0</v>
      </c>
      <c r="R486" s="226">
        <f>R487</f>
        <v>0</v>
      </c>
      <c r="S486" s="223">
        <f t="shared" si="200"/>
        <v>0</v>
      </c>
      <c r="T486" s="223">
        <f t="shared" si="200"/>
        <v>16800</v>
      </c>
      <c r="U486" s="223">
        <f t="shared" si="200"/>
        <v>5000</v>
      </c>
      <c r="V486" s="223">
        <f t="shared" si="200"/>
        <v>6000</v>
      </c>
      <c r="W486" s="223">
        <f t="shared" si="200"/>
        <v>1300</v>
      </c>
      <c r="X486" s="223">
        <f t="shared" si="200"/>
        <v>1500</v>
      </c>
      <c r="Y486" s="223">
        <f t="shared" si="200"/>
        <v>2000</v>
      </c>
      <c r="Z486" s="223">
        <f t="shared" si="200"/>
        <v>1000</v>
      </c>
      <c r="AA486" s="223">
        <f t="shared" si="200"/>
        <v>0</v>
      </c>
      <c r="AB486" s="223">
        <f t="shared" si="200"/>
        <v>0</v>
      </c>
      <c r="AC486" s="223">
        <f t="shared" si="200"/>
        <v>0</v>
      </c>
      <c r="AD486" s="223">
        <f t="shared" si="200"/>
        <v>0</v>
      </c>
      <c r="AE486" s="223">
        <f t="shared" si="200"/>
        <v>0</v>
      </c>
    </row>
    <row r="487" spans="1:31" x14ac:dyDescent="0.2">
      <c r="A487" s="227"/>
      <c r="B487" s="227"/>
      <c r="C487" s="228" t="s">
        <v>864</v>
      </c>
      <c r="D487" s="229" t="s">
        <v>743</v>
      </c>
      <c r="E487" s="230" t="s">
        <v>868</v>
      </c>
      <c r="F487" s="231">
        <v>13200</v>
      </c>
      <c r="G487" s="232">
        <f t="shared" si="191"/>
        <v>0.89189189189189189</v>
      </c>
      <c r="H487" s="233">
        <v>14800</v>
      </c>
      <c r="I487" s="234">
        <f>K487</f>
        <v>16800</v>
      </c>
      <c r="J487" s="936">
        <f t="shared" si="192"/>
        <v>1.1351351351351351</v>
      </c>
      <c r="K487" s="241">
        <f>L487+S487+T487</f>
        <v>16800</v>
      </c>
      <c r="L487" s="236">
        <f>SUM(M487:R487)</f>
        <v>0</v>
      </c>
      <c r="M487" s="245"/>
      <c r="N487" s="245"/>
      <c r="O487" s="245"/>
      <c r="P487" s="245"/>
      <c r="Q487" s="245"/>
      <c r="R487" s="245"/>
      <c r="S487" s="245"/>
      <c r="T487" s="236">
        <f>SUM(U487:AD487)</f>
        <v>16800</v>
      </c>
      <c r="U487" s="236">
        <v>5000</v>
      </c>
      <c r="V487" s="236">
        <v>6000</v>
      </c>
      <c r="W487" s="236">
        <v>1300</v>
      </c>
      <c r="X487" s="236">
        <v>1500</v>
      </c>
      <c r="Y487" s="236">
        <v>2000</v>
      </c>
      <c r="Z487" s="236">
        <v>1000</v>
      </c>
      <c r="AA487" s="245"/>
      <c r="AB487" s="245"/>
      <c r="AC487" s="245"/>
      <c r="AD487" s="245"/>
      <c r="AE487" s="245"/>
    </row>
    <row r="488" spans="1:31" x14ac:dyDescent="0.2">
      <c r="A488" s="213" t="s">
        <v>323</v>
      </c>
      <c r="B488" s="213"/>
      <c r="C488" s="213"/>
      <c r="D488" s="214" t="s">
        <v>324</v>
      </c>
      <c r="E488" s="215">
        <f>E489+E505+E521+E525+E537+E539+E541</f>
        <v>21723366</v>
      </c>
      <c r="F488" s="273">
        <f>F489+F505+F521+F525+F537+F539+F541</f>
        <v>17449169.620000001</v>
      </c>
      <c r="G488" s="246">
        <f t="shared" si="191"/>
        <v>0.80324428635967382</v>
      </c>
      <c r="H488" s="273">
        <f>H489+H505+H521+H525+H537+H539+H541</f>
        <v>21704220.530000001</v>
      </c>
      <c r="I488" s="274">
        <f>I489+I505+I521+I525+I537+I539+I541</f>
        <v>20183778.5</v>
      </c>
      <c r="J488" s="938">
        <f t="shared" si="192"/>
        <v>0.92912758087305625</v>
      </c>
      <c r="K488" s="924">
        <f>K489+K505+K521+K525+K537+K539+K541</f>
        <v>20183778.5</v>
      </c>
      <c r="L488" s="215">
        <f t="shared" ref="L488:AE488" si="201">L489+L505+L521+L525+L537+L539</f>
        <v>87000</v>
      </c>
      <c r="M488" s="215">
        <f t="shared" si="201"/>
        <v>0</v>
      </c>
      <c r="N488" s="215">
        <f t="shared" si="201"/>
        <v>0</v>
      </c>
      <c r="O488" s="215">
        <f t="shared" si="201"/>
        <v>0</v>
      </c>
      <c r="P488" s="215">
        <f t="shared" si="201"/>
        <v>87000</v>
      </c>
      <c r="Q488" s="215">
        <f t="shared" si="201"/>
        <v>0</v>
      </c>
      <c r="R488" s="218">
        <f>R489+R505+R521+R525+R537+R539</f>
        <v>0</v>
      </c>
      <c r="S488" s="215">
        <f>S489+S505+S521+S525+S537+S539+S541</f>
        <v>20096778.5</v>
      </c>
      <c r="T488" s="215">
        <f t="shared" si="201"/>
        <v>0</v>
      </c>
      <c r="U488" s="215">
        <f t="shared" si="201"/>
        <v>0</v>
      </c>
      <c r="V488" s="215">
        <f t="shared" si="201"/>
        <v>0</v>
      </c>
      <c r="W488" s="215">
        <f t="shared" si="201"/>
        <v>0</v>
      </c>
      <c r="X488" s="215">
        <f t="shared" si="201"/>
        <v>0</v>
      </c>
      <c r="Y488" s="215">
        <f t="shared" si="201"/>
        <v>0</v>
      </c>
      <c r="Z488" s="215">
        <f t="shared" si="201"/>
        <v>0</v>
      </c>
      <c r="AA488" s="215">
        <f t="shared" si="201"/>
        <v>0</v>
      </c>
      <c r="AB488" s="215">
        <f t="shared" si="201"/>
        <v>0</v>
      </c>
      <c r="AC488" s="215">
        <f t="shared" si="201"/>
        <v>0</v>
      </c>
      <c r="AD488" s="215">
        <f t="shared" si="201"/>
        <v>0</v>
      </c>
      <c r="AE488" s="215">
        <f t="shared" si="201"/>
        <v>0</v>
      </c>
    </row>
    <row r="489" spans="1:31" ht="15" x14ac:dyDescent="0.2">
      <c r="A489" s="219"/>
      <c r="B489" s="220" t="s">
        <v>325</v>
      </c>
      <c r="C489" s="221"/>
      <c r="D489" s="222" t="s">
        <v>326</v>
      </c>
      <c r="E489" s="223">
        <f>E490+E491+E492+E493+E494+E495+E496+E497+E498+E500+E501+E502+E503+E504+E499</f>
        <v>12675990</v>
      </c>
      <c r="F489" s="239">
        <f t="shared" ref="F489:AE489" si="202">F490+F491+F492+F493+F494+F495+F496+F497+F498+F500+F501+F502+F503+F504+F499</f>
        <v>10568386.779999999</v>
      </c>
      <c r="G489" s="238">
        <f t="shared" si="191"/>
        <v>0.83373265362310944</v>
      </c>
      <c r="H489" s="239">
        <f t="shared" si="202"/>
        <v>12663978.58</v>
      </c>
      <c r="I489" s="240">
        <f t="shared" si="202"/>
        <v>11828801</v>
      </c>
      <c r="J489" s="937">
        <f t="shared" si="192"/>
        <v>0.93316585134573315</v>
      </c>
      <c r="K489" s="925">
        <f t="shared" si="202"/>
        <v>11828801</v>
      </c>
      <c r="L489" s="223">
        <f t="shared" si="202"/>
        <v>42000</v>
      </c>
      <c r="M489" s="223">
        <f t="shared" si="202"/>
        <v>0</v>
      </c>
      <c r="N489" s="223">
        <f t="shared" si="202"/>
        <v>0</v>
      </c>
      <c r="O489" s="223">
        <f t="shared" si="202"/>
        <v>0</v>
      </c>
      <c r="P489" s="223">
        <f t="shared" si="202"/>
        <v>42000</v>
      </c>
      <c r="Q489" s="223">
        <f t="shared" si="202"/>
        <v>0</v>
      </c>
      <c r="R489" s="226">
        <f>R490+R491+R492+R493+R494+R495+R496+R497+R498+R500+R501+R502+R503+R504+R499</f>
        <v>0</v>
      </c>
      <c r="S489" s="223">
        <f t="shared" si="202"/>
        <v>11786801</v>
      </c>
      <c r="T489" s="223">
        <f t="shared" si="202"/>
        <v>0</v>
      </c>
      <c r="U489" s="223">
        <f t="shared" si="202"/>
        <v>0</v>
      </c>
      <c r="V489" s="223">
        <f t="shared" si="202"/>
        <v>0</v>
      </c>
      <c r="W489" s="223">
        <f t="shared" si="202"/>
        <v>0</v>
      </c>
      <c r="X489" s="223">
        <f t="shared" si="202"/>
        <v>0</v>
      </c>
      <c r="Y489" s="223">
        <f t="shared" si="202"/>
        <v>0</v>
      </c>
      <c r="Z489" s="223">
        <f t="shared" si="202"/>
        <v>0</v>
      </c>
      <c r="AA489" s="223">
        <f t="shared" si="202"/>
        <v>0</v>
      </c>
      <c r="AB489" s="223">
        <f t="shared" si="202"/>
        <v>0</v>
      </c>
      <c r="AC489" s="223">
        <f t="shared" si="202"/>
        <v>0</v>
      </c>
      <c r="AD489" s="223">
        <f t="shared" si="202"/>
        <v>0</v>
      </c>
      <c r="AE489" s="223">
        <f t="shared" si="202"/>
        <v>0</v>
      </c>
    </row>
    <row r="490" spans="1:31" ht="45" x14ac:dyDescent="0.2">
      <c r="A490" s="227"/>
      <c r="B490" s="227"/>
      <c r="C490" s="228" t="s">
        <v>277</v>
      </c>
      <c r="D490" s="229" t="s">
        <v>803</v>
      </c>
      <c r="E490" s="230" t="s">
        <v>85</v>
      </c>
      <c r="F490" s="231">
        <v>17450</v>
      </c>
      <c r="G490" s="232">
        <f t="shared" si="191"/>
        <v>0.43625000000000003</v>
      </c>
      <c r="H490" s="233">
        <v>29200</v>
      </c>
      <c r="I490" s="234">
        <f>K490</f>
        <v>40000</v>
      </c>
      <c r="J490" s="936">
        <f t="shared" si="192"/>
        <v>1</v>
      </c>
      <c r="K490" s="241">
        <f>L490+S490+T490</f>
        <v>40000</v>
      </c>
      <c r="L490" s="236">
        <f>SUM(M490:R490)</f>
        <v>40000</v>
      </c>
      <c r="M490" s="242"/>
      <c r="N490" s="242"/>
      <c r="O490" s="242"/>
      <c r="P490" s="236">
        <v>40000</v>
      </c>
      <c r="Q490" s="245"/>
      <c r="R490" s="245"/>
      <c r="S490" s="245"/>
      <c r="T490" s="236">
        <f>SUM(U490:AD490)</f>
        <v>0</v>
      </c>
      <c r="U490" s="245"/>
      <c r="V490" s="245"/>
      <c r="W490" s="245"/>
      <c r="X490" s="245"/>
      <c r="Y490" s="245"/>
      <c r="Z490" s="245"/>
      <c r="AA490" s="245"/>
      <c r="AB490" s="245"/>
      <c r="AC490" s="245"/>
      <c r="AD490" s="245"/>
      <c r="AE490" s="245"/>
    </row>
    <row r="491" spans="1:31" x14ac:dyDescent="0.2">
      <c r="A491" s="227"/>
      <c r="B491" s="227"/>
      <c r="C491" s="228" t="s">
        <v>807</v>
      </c>
      <c r="D491" s="229" t="s">
        <v>808</v>
      </c>
      <c r="E491" s="230" t="s">
        <v>869</v>
      </c>
      <c r="F491" s="231">
        <v>10406991.560000001</v>
      </c>
      <c r="G491" s="232">
        <f t="shared" si="191"/>
        <v>0.83734229095330859</v>
      </c>
      <c r="H491" s="230" t="s">
        <v>869</v>
      </c>
      <c r="I491" s="234">
        <f t="shared" ref="I491:I504" si="203">K491</f>
        <v>11610151</v>
      </c>
      <c r="J491" s="936">
        <f t="shared" si="192"/>
        <v>0.93414800815441867</v>
      </c>
      <c r="K491" s="241">
        <f t="shared" ref="K491:K504" si="204">L491+S491+T491</f>
        <v>11610151</v>
      </c>
      <c r="L491" s="236">
        <f t="shared" ref="L491:L504" si="205">SUM(M491:R491)</f>
        <v>0</v>
      </c>
      <c r="M491" s="242"/>
      <c r="N491" s="242"/>
      <c r="O491" s="242"/>
      <c r="P491" s="245"/>
      <c r="Q491" s="245"/>
      <c r="R491" s="245"/>
      <c r="S491" s="236">
        <v>11610151</v>
      </c>
      <c r="T491" s="236">
        <f t="shared" ref="T491:T504" si="206">SUM(U491:AD491)</f>
        <v>0</v>
      </c>
      <c r="U491" s="236"/>
      <c r="V491" s="236"/>
      <c r="W491" s="236"/>
      <c r="X491" s="236"/>
      <c r="Y491" s="236"/>
      <c r="Z491" s="236"/>
      <c r="AA491" s="236"/>
      <c r="AB491" s="236"/>
      <c r="AC491" s="236"/>
      <c r="AD491" s="245"/>
      <c r="AE491" s="245"/>
    </row>
    <row r="492" spans="1:31" x14ac:dyDescent="0.2">
      <c r="A492" s="227"/>
      <c r="B492" s="227"/>
      <c r="C492" s="228" t="s">
        <v>401</v>
      </c>
      <c r="D492" s="229" t="s">
        <v>402</v>
      </c>
      <c r="E492" s="230" t="s">
        <v>870</v>
      </c>
      <c r="F492" s="231">
        <v>75358.679999999993</v>
      </c>
      <c r="G492" s="232">
        <f t="shared" si="191"/>
        <v>0.71770171428571417</v>
      </c>
      <c r="H492" s="230" t="s">
        <v>870</v>
      </c>
      <c r="I492" s="234">
        <f t="shared" si="203"/>
        <v>100000</v>
      </c>
      <c r="J492" s="936">
        <f t="shared" si="192"/>
        <v>0.95238095238095233</v>
      </c>
      <c r="K492" s="241">
        <f t="shared" si="204"/>
        <v>100000</v>
      </c>
      <c r="L492" s="236">
        <f t="shared" si="205"/>
        <v>0</v>
      </c>
      <c r="M492" s="242"/>
      <c r="N492" s="242"/>
      <c r="O492" s="242"/>
      <c r="P492" s="245"/>
      <c r="Q492" s="245"/>
      <c r="R492" s="245"/>
      <c r="S492" s="236">
        <v>100000</v>
      </c>
      <c r="T492" s="236">
        <f t="shared" si="206"/>
        <v>0</v>
      </c>
      <c r="U492" s="236"/>
      <c r="V492" s="236"/>
      <c r="W492" s="236"/>
      <c r="X492" s="236"/>
      <c r="Y492" s="236"/>
      <c r="Z492" s="236"/>
      <c r="AA492" s="236"/>
      <c r="AB492" s="236"/>
      <c r="AC492" s="236"/>
      <c r="AD492" s="245"/>
      <c r="AE492" s="245"/>
    </row>
    <row r="493" spans="1:31" x14ac:dyDescent="0.2">
      <c r="A493" s="227"/>
      <c r="B493" s="227"/>
      <c r="C493" s="228" t="s">
        <v>495</v>
      </c>
      <c r="D493" s="229" t="s">
        <v>496</v>
      </c>
      <c r="E493" s="230" t="s">
        <v>871</v>
      </c>
      <c r="F493" s="231">
        <v>7422.68</v>
      </c>
      <c r="G493" s="232">
        <f t="shared" si="191"/>
        <v>0.97666842105263163</v>
      </c>
      <c r="H493" s="230" t="s">
        <v>871</v>
      </c>
      <c r="I493" s="234">
        <f t="shared" si="203"/>
        <v>9770</v>
      </c>
      <c r="J493" s="936">
        <f t="shared" si="192"/>
        <v>1.2855263157894736</v>
      </c>
      <c r="K493" s="241">
        <f t="shared" si="204"/>
        <v>9770</v>
      </c>
      <c r="L493" s="236">
        <f t="shared" si="205"/>
        <v>0</v>
      </c>
      <c r="M493" s="242"/>
      <c r="N493" s="242"/>
      <c r="O493" s="242"/>
      <c r="P493" s="245"/>
      <c r="Q493" s="245"/>
      <c r="R493" s="245"/>
      <c r="S493" s="236">
        <v>9770</v>
      </c>
      <c r="T493" s="236">
        <f t="shared" si="206"/>
        <v>0</v>
      </c>
      <c r="U493" s="236"/>
      <c r="V493" s="236"/>
      <c r="W493" s="236"/>
      <c r="X493" s="236"/>
      <c r="Y493" s="236"/>
      <c r="Z493" s="236"/>
      <c r="AA493" s="236"/>
      <c r="AB493" s="236"/>
      <c r="AC493" s="236"/>
      <c r="AD493" s="245"/>
      <c r="AE493" s="245"/>
    </row>
    <row r="494" spans="1:31" x14ac:dyDescent="0.2">
      <c r="A494" s="227"/>
      <c r="B494" s="227"/>
      <c r="C494" s="228" t="s">
        <v>404</v>
      </c>
      <c r="D494" s="229" t="s">
        <v>405</v>
      </c>
      <c r="E494" s="230" t="s">
        <v>872</v>
      </c>
      <c r="F494" s="231">
        <v>13292.54</v>
      </c>
      <c r="G494" s="232">
        <f t="shared" si="191"/>
        <v>0.64737447036477869</v>
      </c>
      <c r="H494" s="230" t="s">
        <v>872</v>
      </c>
      <c r="I494" s="234">
        <f t="shared" si="203"/>
        <v>19510</v>
      </c>
      <c r="J494" s="936">
        <f t="shared" si="192"/>
        <v>0.95017776262601661</v>
      </c>
      <c r="K494" s="241">
        <f t="shared" si="204"/>
        <v>19510</v>
      </c>
      <c r="L494" s="236">
        <f t="shared" si="205"/>
        <v>0</v>
      </c>
      <c r="M494" s="242"/>
      <c r="N494" s="242"/>
      <c r="O494" s="242"/>
      <c r="P494" s="245"/>
      <c r="Q494" s="245"/>
      <c r="R494" s="245"/>
      <c r="S494" s="236">
        <v>19510</v>
      </c>
      <c r="T494" s="236">
        <f t="shared" si="206"/>
        <v>0</v>
      </c>
      <c r="U494" s="236"/>
      <c r="V494" s="236"/>
      <c r="W494" s="236"/>
      <c r="X494" s="236"/>
      <c r="Y494" s="236"/>
      <c r="Z494" s="236"/>
      <c r="AA494" s="236"/>
      <c r="AB494" s="236"/>
      <c r="AC494" s="236"/>
      <c r="AD494" s="245"/>
      <c r="AE494" s="245"/>
    </row>
    <row r="495" spans="1:31" x14ac:dyDescent="0.2">
      <c r="A495" s="227"/>
      <c r="B495" s="227"/>
      <c r="C495" s="228" t="s">
        <v>407</v>
      </c>
      <c r="D495" s="229" t="s">
        <v>408</v>
      </c>
      <c r="E495" s="230" t="s">
        <v>873</v>
      </c>
      <c r="F495" s="231">
        <v>1744.68</v>
      </c>
      <c r="G495" s="232">
        <f t="shared" si="191"/>
        <v>0.60411357340720229</v>
      </c>
      <c r="H495" s="230" t="s">
        <v>873</v>
      </c>
      <c r="I495" s="234">
        <f t="shared" si="203"/>
        <v>3000</v>
      </c>
      <c r="J495" s="936">
        <f t="shared" si="192"/>
        <v>1.0387811634349031</v>
      </c>
      <c r="K495" s="241">
        <f t="shared" si="204"/>
        <v>3000</v>
      </c>
      <c r="L495" s="236">
        <f t="shared" si="205"/>
        <v>0</v>
      </c>
      <c r="M495" s="242"/>
      <c r="N495" s="242"/>
      <c r="O495" s="242"/>
      <c r="P495" s="245"/>
      <c r="Q495" s="245"/>
      <c r="R495" s="245"/>
      <c r="S495" s="236">
        <v>3000</v>
      </c>
      <c r="T495" s="236">
        <f t="shared" si="206"/>
        <v>0</v>
      </c>
      <c r="U495" s="236"/>
      <c r="V495" s="236"/>
      <c r="W495" s="236"/>
      <c r="X495" s="236"/>
      <c r="Y495" s="236"/>
      <c r="Z495" s="236"/>
      <c r="AA495" s="236"/>
      <c r="AB495" s="236"/>
      <c r="AC495" s="236"/>
      <c r="AD495" s="245"/>
      <c r="AE495" s="245"/>
    </row>
    <row r="496" spans="1:31" x14ac:dyDescent="0.2">
      <c r="A496" s="227"/>
      <c r="B496" s="227"/>
      <c r="C496" s="228" t="s">
        <v>420</v>
      </c>
      <c r="D496" s="229" t="s">
        <v>421</v>
      </c>
      <c r="E496" s="230" t="s">
        <v>335</v>
      </c>
      <c r="F496" s="231">
        <v>4640</v>
      </c>
      <c r="G496" s="232">
        <f t="shared" si="191"/>
        <v>0.92800000000000005</v>
      </c>
      <c r="H496" s="230" t="s">
        <v>335</v>
      </c>
      <c r="I496" s="234">
        <f t="shared" si="203"/>
        <v>4000</v>
      </c>
      <c r="J496" s="936">
        <f t="shared" si="192"/>
        <v>0.8</v>
      </c>
      <c r="K496" s="241">
        <f t="shared" si="204"/>
        <v>4000</v>
      </c>
      <c r="L496" s="236">
        <f t="shared" si="205"/>
        <v>0</v>
      </c>
      <c r="M496" s="242"/>
      <c r="N496" s="242"/>
      <c r="O496" s="242"/>
      <c r="P496" s="245"/>
      <c r="Q496" s="245"/>
      <c r="R496" s="245"/>
      <c r="S496" s="236">
        <v>4000</v>
      </c>
      <c r="T496" s="236">
        <f t="shared" si="206"/>
        <v>0</v>
      </c>
      <c r="U496" s="236"/>
      <c r="V496" s="236"/>
      <c r="W496" s="236"/>
      <c r="X496" s="236"/>
      <c r="Y496" s="236"/>
      <c r="Z496" s="236"/>
      <c r="AA496" s="236"/>
      <c r="AB496" s="236"/>
      <c r="AC496" s="236"/>
      <c r="AD496" s="245"/>
      <c r="AE496" s="245"/>
    </row>
    <row r="497" spans="1:31" x14ac:dyDescent="0.2">
      <c r="A497" s="227"/>
      <c r="B497" s="227"/>
      <c r="C497" s="228" t="s">
        <v>410</v>
      </c>
      <c r="D497" s="229" t="s">
        <v>411</v>
      </c>
      <c r="E497" s="230" t="s">
        <v>36</v>
      </c>
      <c r="F497" s="231">
        <v>8039.98</v>
      </c>
      <c r="G497" s="232">
        <f t="shared" si="191"/>
        <v>0.401999</v>
      </c>
      <c r="H497" s="230" t="s">
        <v>36</v>
      </c>
      <c r="I497" s="234">
        <f t="shared" si="203"/>
        <v>13000</v>
      </c>
      <c r="J497" s="936">
        <f t="shared" si="192"/>
        <v>0.65</v>
      </c>
      <c r="K497" s="241">
        <f t="shared" si="204"/>
        <v>13000</v>
      </c>
      <c r="L497" s="236">
        <f t="shared" si="205"/>
        <v>0</v>
      </c>
      <c r="M497" s="242"/>
      <c r="N497" s="242"/>
      <c r="O497" s="242"/>
      <c r="P497" s="245"/>
      <c r="Q497" s="245"/>
      <c r="R497" s="245"/>
      <c r="S497" s="236">
        <v>13000</v>
      </c>
      <c r="T497" s="236">
        <f t="shared" si="206"/>
        <v>0</v>
      </c>
      <c r="U497" s="236"/>
      <c r="V497" s="236"/>
      <c r="W497" s="236"/>
      <c r="X497" s="236"/>
      <c r="Y497" s="236"/>
      <c r="Z497" s="236"/>
      <c r="AA497" s="236"/>
      <c r="AB497" s="236"/>
      <c r="AC497" s="236"/>
      <c r="AD497" s="245"/>
      <c r="AE497" s="245"/>
    </row>
    <row r="498" spans="1:31" x14ac:dyDescent="0.2">
      <c r="A498" s="227"/>
      <c r="B498" s="227"/>
      <c r="C498" s="228" t="s">
        <v>424</v>
      </c>
      <c r="D498" s="229" t="s">
        <v>425</v>
      </c>
      <c r="E498" s="230" t="s">
        <v>727</v>
      </c>
      <c r="F498" s="231">
        <v>2345.5100000000002</v>
      </c>
      <c r="G498" s="232">
        <f t="shared" si="191"/>
        <v>0.33507285714285717</v>
      </c>
      <c r="H498" s="230" t="s">
        <v>727</v>
      </c>
      <c r="I498" s="234">
        <f t="shared" si="203"/>
        <v>3000</v>
      </c>
      <c r="J498" s="936">
        <f t="shared" si="192"/>
        <v>0.42857142857142855</v>
      </c>
      <c r="K498" s="241">
        <f t="shared" si="204"/>
        <v>3000</v>
      </c>
      <c r="L498" s="236">
        <f t="shared" si="205"/>
        <v>0</v>
      </c>
      <c r="M498" s="242"/>
      <c r="N498" s="242"/>
      <c r="O498" s="242"/>
      <c r="P498" s="245"/>
      <c r="Q498" s="245"/>
      <c r="R498" s="245"/>
      <c r="S498" s="236">
        <v>3000</v>
      </c>
      <c r="T498" s="236">
        <f t="shared" si="206"/>
        <v>0</v>
      </c>
      <c r="U498" s="236"/>
      <c r="V498" s="236"/>
      <c r="W498" s="236"/>
      <c r="X498" s="236"/>
      <c r="Y498" s="236"/>
      <c r="Z498" s="236"/>
      <c r="AA498" s="236"/>
      <c r="AB498" s="236"/>
      <c r="AC498" s="236"/>
      <c r="AD498" s="245"/>
      <c r="AE498" s="245"/>
    </row>
    <row r="499" spans="1:31" x14ac:dyDescent="0.2">
      <c r="A499" s="227"/>
      <c r="B499" s="227"/>
      <c r="C499" s="228" t="s">
        <v>413</v>
      </c>
      <c r="D499" s="229" t="s">
        <v>414</v>
      </c>
      <c r="E499" s="230" t="s">
        <v>174</v>
      </c>
      <c r="F499" s="231">
        <v>27306.52</v>
      </c>
      <c r="G499" s="232">
        <f t="shared" si="191"/>
        <v>0.91021733333333332</v>
      </c>
      <c r="H499" s="230" t="s">
        <v>174</v>
      </c>
      <c r="I499" s="234">
        <f t="shared" si="203"/>
        <v>20000</v>
      </c>
      <c r="J499" s="936">
        <f t="shared" si="192"/>
        <v>0.66666666666666663</v>
      </c>
      <c r="K499" s="241">
        <f t="shared" si="204"/>
        <v>20000</v>
      </c>
      <c r="L499" s="236">
        <f t="shared" si="205"/>
        <v>0</v>
      </c>
      <c r="M499" s="242"/>
      <c r="N499" s="242"/>
      <c r="O499" s="242"/>
      <c r="P499" s="245"/>
      <c r="Q499" s="245"/>
      <c r="R499" s="245"/>
      <c r="S499" s="236">
        <v>20000</v>
      </c>
      <c r="T499" s="236">
        <f t="shared" si="206"/>
        <v>0</v>
      </c>
      <c r="U499" s="236"/>
      <c r="V499" s="236"/>
      <c r="W499" s="236"/>
      <c r="X499" s="236"/>
      <c r="Y499" s="236"/>
      <c r="Z499" s="236"/>
      <c r="AA499" s="236"/>
      <c r="AB499" s="236"/>
      <c r="AC499" s="236"/>
      <c r="AD499" s="245"/>
      <c r="AE499" s="245"/>
    </row>
    <row r="500" spans="1:31" ht="22.5" hidden="1" x14ac:dyDescent="0.2">
      <c r="A500" s="227"/>
      <c r="B500" s="227"/>
      <c r="C500" s="228" t="s">
        <v>637</v>
      </c>
      <c r="D500" s="229" t="s">
        <v>638</v>
      </c>
      <c r="E500" s="230" t="s">
        <v>39</v>
      </c>
      <c r="F500" s="231">
        <v>0</v>
      </c>
      <c r="G500" s="232" t="e">
        <f t="shared" si="191"/>
        <v>#DIV/0!</v>
      </c>
      <c r="H500" s="230" t="s">
        <v>39</v>
      </c>
      <c r="I500" s="234">
        <f t="shared" si="203"/>
        <v>0</v>
      </c>
      <c r="J500" s="936" t="e">
        <f t="shared" si="192"/>
        <v>#DIV/0!</v>
      </c>
      <c r="K500" s="241">
        <f t="shared" si="204"/>
        <v>0</v>
      </c>
      <c r="L500" s="236">
        <f t="shared" si="205"/>
        <v>0</v>
      </c>
      <c r="M500" s="242"/>
      <c r="N500" s="242"/>
      <c r="O500" s="242"/>
      <c r="P500" s="245"/>
      <c r="Q500" s="245"/>
      <c r="R500" s="245"/>
      <c r="S500" s="236">
        <v>0</v>
      </c>
      <c r="T500" s="236">
        <f t="shared" si="206"/>
        <v>0</v>
      </c>
      <c r="U500" s="236"/>
      <c r="V500" s="236"/>
      <c r="W500" s="236"/>
      <c r="X500" s="236"/>
      <c r="Y500" s="236"/>
      <c r="Z500" s="236"/>
      <c r="AA500" s="236"/>
      <c r="AB500" s="236"/>
      <c r="AC500" s="236"/>
      <c r="AD500" s="245"/>
      <c r="AE500" s="245"/>
    </row>
    <row r="501" spans="1:31" x14ac:dyDescent="0.2">
      <c r="A501" s="227"/>
      <c r="B501" s="227"/>
      <c r="C501" s="228" t="s">
        <v>451</v>
      </c>
      <c r="D501" s="229" t="s">
        <v>452</v>
      </c>
      <c r="E501" s="230" t="s">
        <v>113</v>
      </c>
      <c r="F501" s="231">
        <v>158.06</v>
      </c>
      <c r="G501" s="232">
        <f t="shared" si="191"/>
        <v>0.15806000000000001</v>
      </c>
      <c r="H501" s="230" t="s">
        <v>113</v>
      </c>
      <c r="I501" s="234">
        <f t="shared" si="203"/>
        <v>0</v>
      </c>
      <c r="J501" s="936">
        <f t="shared" si="192"/>
        <v>0</v>
      </c>
      <c r="K501" s="241">
        <f t="shared" si="204"/>
        <v>0</v>
      </c>
      <c r="L501" s="236">
        <f t="shared" si="205"/>
        <v>0</v>
      </c>
      <c r="M501" s="242"/>
      <c r="N501" s="242"/>
      <c r="O501" s="242"/>
      <c r="P501" s="245"/>
      <c r="Q501" s="245"/>
      <c r="R501" s="245"/>
      <c r="S501" s="236">
        <v>0</v>
      </c>
      <c r="T501" s="236">
        <f t="shared" si="206"/>
        <v>0</v>
      </c>
      <c r="U501" s="236"/>
      <c r="V501" s="236"/>
      <c r="W501" s="236"/>
      <c r="X501" s="236"/>
      <c r="Y501" s="236"/>
      <c r="Z501" s="236"/>
      <c r="AA501" s="236"/>
      <c r="AB501" s="236"/>
      <c r="AC501" s="236"/>
      <c r="AD501" s="245"/>
      <c r="AE501" s="245"/>
    </row>
    <row r="502" spans="1:31" x14ac:dyDescent="0.2">
      <c r="A502" s="227"/>
      <c r="B502" s="227"/>
      <c r="C502" s="228" t="s">
        <v>537</v>
      </c>
      <c r="D502" s="229" t="s">
        <v>538</v>
      </c>
      <c r="E502" s="230" t="s">
        <v>874</v>
      </c>
      <c r="F502" s="231">
        <v>2370</v>
      </c>
      <c r="G502" s="232">
        <f t="shared" si="191"/>
        <v>1</v>
      </c>
      <c r="H502" s="230" t="s">
        <v>874</v>
      </c>
      <c r="I502" s="234">
        <f t="shared" si="203"/>
        <v>2370</v>
      </c>
      <c r="J502" s="936">
        <f t="shared" si="192"/>
        <v>1</v>
      </c>
      <c r="K502" s="241">
        <f t="shared" si="204"/>
        <v>2370</v>
      </c>
      <c r="L502" s="236">
        <f t="shared" si="205"/>
        <v>0</v>
      </c>
      <c r="M502" s="242"/>
      <c r="N502" s="242"/>
      <c r="O502" s="242"/>
      <c r="P502" s="245"/>
      <c r="Q502" s="245"/>
      <c r="R502" s="245"/>
      <c r="S502" s="236">
        <v>2370</v>
      </c>
      <c r="T502" s="236">
        <f t="shared" si="206"/>
        <v>0</v>
      </c>
      <c r="U502" s="236"/>
      <c r="V502" s="236"/>
      <c r="W502" s="236"/>
      <c r="X502" s="236"/>
      <c r="Y502" s="236"/>
      <c r="Z502" s="236"/>
      <c r="AA502" s="236"/>
      <c r="AB502" s="236"/>
      <c r="AC502" s="236"/>
      <c r="AD502" s="245"/>
      <c r="AE502" s="245"/>
    </row>
    <row r="503" spans="1:31" ht="56.25" x14ac:dyDescent="0.2">
      <c r="A503" s="227"/>
      <c r="B503" s="227"/>
      <c r="C503" s="228" t="s">
        <v>875</v>
      </c>
      <c r="D503" s="229" t="s">
        <v>876</v>
      </c>
      <c r="E503" s="230" t="s">
        <v>95</v>
      </c>
      <c r="F503" s="231">
        <v>786.57</v>
      </c>
      <c r="G503" s="232">
        <f t="shared" si="191"/>
        <v>0.39328500000000005</v>
      </c>
      <c r="H503" s="230">
        <v>788.58</v>
      </c>
      <c r="I503" s="234">
        <f t="shared" si="203"/>
        <v>2000</v>
      </c>
      <c r="J503" s="936">
        <f t="shared" si="192"/>
        <v>1</v>
      </c>
      <c r="K503" s="241">
        <f t="shared" si="204"/>
        <v>2000</v>
      </c>
      <c r="L503" s="236">
        <f t="shared" si="205"/>
        <v>2000</v>
      </c>
      <c r="M503" s="242"/>
      <c r="N503" s="242"/>
      <c r="O503" s="242"/>
      <c r="P503" s="236">
        <v>2000</v>
      </c>
      <c r="Q503" s="245"/>
      <c r="R503" s="245"/>
      <c r="S503" s="236">
        <v>0</v>
      </c>
      <c r="T503" s="236">
        <f t="shared" si="206"/>
        <v>0</v>
      </c>
      <c r="U503" s="236"/>
      <c r="V503" s="236"/>
      <c r="W503" s="236"/>
      <c r="X503" s="236"/>
      <c r="Y503" s="236"/>
      <c r="Z503" s="236"/>
      <c r="AA503" s="236"/>
      <c r="AB503" s="236"/>
      <c r="AC503" s="236"/>
      <c r="AD503" s="245"/>
      <c r="AE503" s="245"/>
    </row>
    <row r="504" spans="1:31" ht="22.5" x14ac:dyDescent="0.2">
      <c r="A504" s="227"/>
      <c r="B504" s="227"/>
      <c r="C504" s="228" t="s">
        <v>540</v>
      </c>
      <c r="D504" s="229" t="s">
        <v>541</v>
      </c>
      <c r="E504" s="230" t="s">
        <v>351</v>
      </c>
      <c r="F504" s="231">
        <v>480</v>
      </c>
      <c r="G504" s="232">
        <f t="shared" si="191"/>
        <v>0.12</v>
      </c>
      <c r="H504" s="230" t="s">
        <v>351</v>
      </c>
      <c r="I504" s="234">
        <f t="shared" si="203"/>
        <v>2000</v>
      </c>
      <c r="J504" s="936">
        <f t="shared" si="192"/>
        <v>0.5</v>
      </c>
      <c r="K504" s="241">
        <f t="shared" si="204"/>
        <v>2000</v>
      </c>
      <c r="L504" s="236">
        <f t="shared" si="205"/>
        <v>0</v>
      </c>
      <c r="M504" s="242"/>
      <c r="N504" s="242"/>
      <c r="O504" s="242"/>
      <c r="P504" s="245"/>
      <c r="Q504" s="245"/>
      <c r="R504" s="245"/>
      <c r="S504" s="236">
        <v>2000</v>
      </c>
      <c r="T504" s="236">
        <f t="shared" si="206"/>
        <v>0</v>
      </c>
      <c r="U504" s="236"/>
      <c r="V504" s="236"/>
      <c r="W504" s="236"/>
      <c r="X504" s="236"/>
      <c r="Y504" s="236"/>
      <c r="Z504" s="236"/>
      <c r="AA504" s="236"/>
      <c r="AB504" s="236"/>
      <c r="AC504" s="236"/>
      <c r="AD504" s="245"/>
      <c r="AE504" s="245"/>
    </row>
    <row r="505" spans="1:31" ht="45" x14ac:dyDescent="0.2">
      <c r="A505" s="219"/>
      <c r="B505" s="220" t="s">
        <v>333</v>
      </c>
      <c r="C505" s="221"/>
      <c r="D505" s="222" t="s">
        <v>334</v>
      </c>
      <c r="E505" s="223">
        <f>E506+E507+E508+E509+E510+E511+E514+E515+E517+E518+E519+E520+E516+E512+E513</f>
        <v>7670868</v>
      </c>
      <c r="F505" s="239">
        <f t="shared" ref="F505:AE505" si="207">F506+F507+F508+F509+F510+F511+F514+F515+F517+F518+F519+F520+F516+F512+F513</f>
        <v>5830291.5599999996</v>
      </c>
      <c r="G505" s="291">
        <f>F505/E505</f>
        <v>0.76005630132078916</v>
      </c>
      <c r="H505" s="239">
        <f t="shared" si="207"/>
        <v>7668139.7800000003</v>
      </c>
      <c r="I505" s="240">
        <f t="shared" si="207"/>
        <v>7792821.5</v>
      </c>
      <c r="J505" s="935">
        <f>I505/E505</f>
        <v>1.0158982660110956</v>
      </c>
      <c r="K505" s="925">
        <f t="shared" si="207"/>
        <v>7792821.5</v>
      </c>
      <c r="L505" s="223">
        <f t="shared" si="207"/>
        <v>45000</v>
      </c>
      <c r="M505" s="223">
        <f t="shared" si="207"/>
        <v>0</v>
      </c>
      <c r="N505" s="223">
        <f t="shared" si="207"/>
        <v>0</v>
      </c>
      <c r="O505" s="223">
        <f t="shared" si="207"/>
        <v>0</v>
      </c>
      <c r="P505" s="223">
        <f t="shared" si="207"/>
        <v>45000</v>
      </c>
      <c r="Q505" s="223">
        <f t="shared" si="207"/>
        <v>0</v>
      </c>
      <c r="R505" s="223">
        <f>R506+R507+R508+R509+R510+R511+R514+R515+R517+R518+R519+R520+R516+R512+R513</f>
        <v>0</v>
      </c>
      <c r="S505" s="223">
        <f t="shared" si="207"/>
        <v>7747821.5</v>
      </c>
      <c r="T505" s="223">
        <f t="shared" si="207"/>
        <v>0</v>
      </c>
      <c r="U505" s="223">
        <f t="shared" si="207"/>
        <v>0</v>
      </c>
      <c r="V505" s="223">
        <f t="shared" si="207"/>
        <v>0</v>
      </c>
      <c r="W505" s="223">
        <f t="shared" si="207"/>
        <v>0</v>
      </c>
      <c r="X505" s="223">
        <f t="shared" si="207"/>
        <v>0</v>
      </c>
      <c r="Y505" s="223">
        <f t="shared" si="207"/>
        <v>0</v>
      </c>
      <c r="Z505" s="223">
        <f t="shared" si="207"/>
        <v>0</v>
      </c>
      <c r="AA505" s="223">
        <f t="shared" si="207"/>
        <v>0</v>
      </c>
      <c r="AB505" s="223">
        <f t="shared" si="207"/>
        <v>0</v>
      </c>
      <c r="AC505" s="223">
        <f t="shared" si="207"/>
        <v>0</v>
      </c>
      <c r="AD505" s="223">
        <f t="shared" si="207"/>
        <v>0</v>
      </c>
      <c r="AE505" s="223">
        <f t="shared" si="207"/>
        <v>0</v>
      </c>
    </row>
    <row r="506" spans="1:31" ht="45" x14ac:dyDescent="0.2">
      <c r="A506" s="227"/>
      <c r="B506" s="227"/>
      <c r="C506" s="228" t="s">
        <v>277</v>
      </c>
      <c r="D506" s="229" t="s">
        <v>803</v>
      </c>
      <c r="E506" s="230" t="s">
        <v>85</v>
      </c>
      <c r="F506" s="231">
        <v>28778.71</v>
      </c>
      <c r="G506" s="232">
        <f t="shared" si="191"/>
        <v>0.71946774999999996</v>
      </c>
      <c r="H506" s="230" t="s">
        <v>85</v>
      </c>
      <c r="I506" s="234">
        <f>K506</f>
        <v>40000</v>
      </c>
      <c r="J506" s="936">
        <f t="shared" si="192"/>
        <v>1</v>
      </c>
      <c r="K506" s="241">
        <f>L506+S506+T506</f>
        <v>40000</v>
      </c>
      <c r="L506" s="236">
        <f>SUM(M506:R506)</f>
        <v>40000</v>
      </c>
      <c r="M506" s="236"/>
      <c r="N506" s="236"/>
      <c r="O506" s="236"/>
      <c r="P506" s="236">
        <v>40000</v>
      </c>
      <c r="Q506" s="236"/>
      <c r="R506" s="242"/>
      <c r="S506" s="236"/>
      <c r="T506" s="236">
        <f>SUM(U506:AD506)</f>
        <v>0</v>
      </c>
      <c r="U506" s="236"/>
      <c r="V506" s="236"/>
      <c r="W506" s="236"/>
      <c r="X506" s="236"/>
      <c r="Y506" s="236"/>
      <c r="Z506" s="236"/>
      <c r="AA506" s="236"/>
      <c r="AB506" s="236"/>
      <c r="AC506" s="236"/>
      <c r="AD506" s="236"/>
      <c r="AE506" s="236"/>
    </row>
    <row r="507" spans="1:31" x14ac:dyDescent="0.2">
      <c r="A507" s="227"/>
      <c r="B507" s="227"/>
      <c r="C507" s="228" t="s">
        <v>807</v>
      </c>
      <c r="D507" s="229" t="s">
        <v>808</v>
      </c>
      <c r="E507" s="230" t="s">
        <v>877</v>
      </c>
      <c r="F507" s="231">
        <v>5427982.4299999997</v>
      </c>
      <c r="G507" s="232">
        <f t="shared" si="191"/>
        <v>0.76376103010702812</v>
      </c>
      <c r="H507" s="230" t="s">
        <v>877</v>
      </c>
      <c r="I507" s="234">
        <f t="shared" ref="I507:I520" si="208">K507</f>
        <v>7219046</v>
      </c>
      <c r="J507" s="936">
        <f t="shared" si="192"/>
        <v>1.0157781607539251</v>
      </c>
      <c r="K507" s="241">
        <f t="shared" ref="K507:K520" si="209">L507+S507+T507</f>
        <v>7219046</v>
      </c>
      <c r="L507" s="236">
        <f t="shared" ref="L507:L520" si="210">SUM(M507:R507)</f>
        <v>0</v>
      </c>
      <c r="M507" s="242"/>
      <c r="N507" s="242"/>
      <c r="O507" s="242"/>
      <c r="P507" s="236"/>
      <c r="Q507" s="236"/>
      <c r="R507" s="242"/>
      <c r="S507" s="236">
        <v>7219046</v>
      </c>
      <c r="T507" s="236">
        <f t="shared" ref="T507:T520" si="211">SUM(U507:AD507)</f>
        <v>0</v>
      </c>
      <c r="U507" s="236"/>
      <c r="V507" s="236"/>
      <c r="W507" s="236"/>
      <c r="X507" s="236"/>
      <c r="Y507" s="236"/>
      <c r="Z507" s="236"/>
      <c r="AA507" s="236"/>
      <c r="AB507" s="236"/>
      <c r="AC507" s="236"/>
      <c r="AD507" s="236"/>
      <c r="AE507" s="236"/>
    </row>
    <row r="508" spans="1:31" x14ac:dyDescent="0.2">
      <c r="A508" s="227"/>
      <c r="B508" s="227"/>
      <c r="C508" s="228" t="s">
        <v>401</v>
      </c>
      <c r="D508" s="229" t="s">
        <v>402</v>
      </c>
      <c r="E508" s="230" t="s">
        <v>878</v>
      </c>
      <c r="F508" s="231">
        <v>107097.91</v>
      </c>
      <c r="G508" s="232">
        <f t="shared" si="191"/>
        <v>0.61044189502873436</v>
      </c>
      <c r="H508" s="230" t="s">
        <v>878</v>
      </c>
      <c r="I508" s="234">
        <f t="shared" si="208"/>
        <v>155000</v>
      </c>
      <c r="J508" s="936">
        <f t="shared" si="192"/>
        <v>0.88347656578409262</v>
      </c>
      <c r="K508" s="241">
        <f t="shared" si="209"/>
        <v>155000</v>
      </c>
      <c r="L508" s="236">
        <f t="shared" si="210"/>
        <v>0</v>
      </c>
      <c r="M508" s="242"/>
      <c r="N508" s="242"/>
      <c r="O508" s="242"/>
      <c r="P508" s="236"/>
      <c r="Q508" s="236"/>
      <c r="R508" s="242"/>
      <c r="S508" s="236">
        <v>155000</v>
      </c>
      <c r="T508" s="236">
        <f t="shared" si="211"/>
        <v>0</v>
      </c>
      <c r="U508" s="236"/>
      <c r="V508" s="236"/>
      <c r="W508" s="236"/>
      <c r="X508" s="236"/>
      <c r="Y508" s="236"/>
      <c r="Z508" s="236"/>
      <c r="AA508" s="236"/>
      <c r="AB508" s="236"/>
      <c r="AC508" s="236"/>
      <c r="AD508" s="236"/>
      <c r="AE508" s="236"/>
    </row>
    <row r="509" spans="1:31" x14ac:dyDescent="0.2">
      <c r="A509" s="227"/>
      <c r="B509" s="227"/>
      <c r="C509" s="228" t="s">
        <v>495</v>
      </c>
      <c r="D509" s="229" t="s">
        <v>496</v>
      </c>
      <c r="E509" s="230" t="s">
        <v>879</v>
      </c>
      <c r="F509" s="231">
        <v>8816.5499999999993</v>
      </c>
      <c r="G509" s="232">
        <f t="shared" si="191"/>
        <v>0.95832065217391293</v>
      </c>
      <c r="H509" s="230" t="s">
        <v>879</v>
      </c>
      <c r="I509" s="234">
        <f t="shared" si="208"/>
        <v>15100</v>
      </c>
      <c r="J509" s="936">
        <f t="shared" si="192"/>
        <v>1.6413043478260869</v>
      </c>
      <c r="K509" s="241">
        <f t="shared" si="209"/>
        <v>15100</v>
      </c>
      <c r="L509" s="236">
        <f t="shared" si="210"/>
        <v>0</v>
      </c>
      <c r="M509" s="242"/>
      <c r="N509" s="242"/>
      <c r="O509" s="242"/>
      <c r="P509" s="236"/>
      <c r="Q509" s="236"/>
      <c r="R509" s="242"/>
      <c r="S509" s="236">
        <v>15100</v>
      </c>
      <c r="T509" s="236">
        <f t="shared" si="211"/>
        <v>0</v>
      </c>
      <c r="U509" s="236"/>
      <c r="V509" s="236"/>
      <c r="W509" s="236"/>
      <c r="X509" s="236"/>
      <c r="Y509" s="236"/>
      <c r="Z509" s="236"/>
      <c r="AA509" s="236"/>
      <c r="AB509" s="236"/>
      <c r="AC509" s="236"/>
      <c r="AD509" s="236"/>
      <c r="AE509" s="236"/>
    </row>
    <row r="510" spans="1:31" x14ac:dyDescent="0.2">
      <c r="A510" s="227"/>
      <c r="B510" s="227"/>
      <c r="C510" s="228" t="s">
        <v>404</v>
      </c>
      <c r="D510" s="229" t="s">
        <v>405</v>
      </c>
      <c r="E510" s="230" t="s">
        <v>880</v>
      </c>
      <c r="F510" s="231">
        <v>213353.62</v>
      </c>
      <c r="G510" s="232">
        <f t="shared" si="191"/>
        <v>0.75360309594043529</v>
      </c>
      <c r="H510" s="230" t="s">
        <v>880</v>
      </c>
      <c r="I510" s="234">
        <f t="shared" si="208"/>
        <v>279953</v>
      </c>
      <c r="J510" s="936">
        <f t="shared" si="192"/>
        <v>0.98884400235539793</v>
      </c>
      <c r="K510" s="241">
        <f t="shared" si="209"/>
        <v>279953</v>
      </c>
      <c r="L510" s="236">
        <f t="shared" si="210"/>
        <v>0</v>
      </c>
      <c r="M510" s="242"/>
      <c r="N510" s="242"/>
      <c r="O510" s="242"/>
      <c r="P510" s="236"/>
      <c r="Q510" s="236"/>
      <c r="R510" s="242"/>
      <c r="S510" s="236">
        <v>279953</v>
      </c>
      <c r="T510" s="236">
        <f t="shared" si="211"/>
        <v>0</v>
      </c>
      <c r="U510" s="236"/>
      <c r="V510" s="236"/>
      <c r="W510" s="236"/>
      <c r="X510" s="236"/>
      <c r="Y510" s="236"/>
      <c r="Z510" s="236"/>
      <c r="AA510" s="236"/>
      <c r="AB510" s="236"/>
      <c r="AC510" s="236"/>
      <c r="AD510" s="236"/>
      <c r="AE510" s="236"/>
    </row>
    <row r="511" spans="1:31" x14ac:dyDescent="0.2">
      <c r="A511" s="227"/>
      <c r="B511" s="227"/>
      <c r="C511" s="228" t="s">
        <v>407</v>
      </c>
      <c r="D511" s="229" t="s">
        <v>408</v>
      </c>
      <c r="E511" s="230" t="s">
        <v>881</v>
      </c>
      <c r="F511" s="231">
        <v>1814.6</v>
      </c>
      <c r="G511" s="232">
        <f t="shared" si="191"/>
        <v>0.39054227395208291</v>
      </c>
      <c r="H511" s="230" t="s">
        <v>881</v>
      </c>
      <c r="I511" s="234">
        <f t="shared" si="208"/>
        <v>4167.5</v>
      </c>
      <c r="J511" s="936">
        <f t="shared" si="192"/>
        <v>0.89693867887981138</v>
      </c>
      <c r="K511" s="241">
        <f t="shared" si="209"/>
        <v>4167.5</v>
      </c>
      <c r="L511" s="236">
        <f t="shared" si="210"/>
        <v>0</v>
      </c>
      <c r="M511" s="242"/>
      <c r="N511" s="242"/>
      <c r="O511" s="242"/>
      <c r="P511" s="236"/>
      <c r="Q511" s="236"/>
      <c r="R511" s="242"/>
      <c r="S511" s="236">
        <v>4167.5</v>
      </c>
      <c r="T511" s="236">
        <f t="shared" si="211"/>
        <v>0</v>
      </c>
      <c r="U511" s="236"/>
      <c r="V511" s="236"/>
      <c r="W511" s="236"/>
      <c r="X511" s="236"/>
      <c r="Y511" s="236"/>
      <c r="Z511" s="236"/>
      <c r="AA511" s="236"/>
      <c r="AB511" s="236"/>
      <c r="AC511" s="236"/>
      <c r="AD511" s="236"/>
      <c r="AE511" s="236"/>
    </row>
    <row r="512" spans="1:31" hidden="1" x14ac:dyDescent="0.2">
      <c r="A512" s="227"/>
      <c r="B512" s="227"/>
      <c r="C512" s="228" t="s">
        <v>804</v>
      </c>
      <c r="D512" s="229" t="s">
        <v>805</v>
      </c>
      <c r="E512" s="230">
        <v>0</v>
      </c>
      <c r="F512" s="231">
        <v>0</v>
      </c>
      <c r="G512" s="232">
        <v>0</v>
      </c>
      <c r="H512" s="230">
        <v>0</v>
      </c>
      <c r="I512" s="234">
        <f t="shared" si="208"/>
        <v>0</v>
      </c>
      <c r="J512" s="936">
        <v>0</v>
      </c>
      <c r="K512" s="241">
        <f t="shared" si="209"/>
        <v>0</v>
      </c>
      <c r="L512" s="236">
        <f t="shared" si="210"/>
        <v>0</v>
      </c>
      <c r="M512" s="242"/>
      <c r="N512" s="242"/>
      <c r="O512" s="242"/>
      <c r="P512" s="236"/>
      <c r="Q512" s="236"/>
      <c r="R512" s="242"/>
      <c r="S512" s="236">
        <v>0</v>
      </c>
      <c r="T512" s="236">
        <f t="shared" si="211"/>
        <v>0</v>
      </c>
      <c r="U512" s="236"/>
      <c r="V512" s="236"/>
      <c r="W512" s="236"/>
      <c r="X512" s="236"/>
      <c r="Y512" s="236"/>
      <c r="Z512" s="236"/>
      <c r="AA512" s="236"/>
      <c r="AB512" s="236"/>
      <c r="AC512" s="236"/>
      <c r="AD512" s="236"/>
      <c r="AE512" s="236"/>
    </row>
    <row r="513" spans="1:31" x14ac:dyDescent="0.2">
      <c r="A513" s="227"/>
      <c r="B513" s="227"/>
      <c r="C513" s="228" t="s">
        <v>420</v>
      </c>
      <c r="D513" s="229" t="s">
        <v>421</v>
      </c>
      <c r="E513" s="230">
        <v>0</v>
      </c>
      <c r="F513" s="231">
        <v>0</v>
      </c>
      <c r="G513" s="232">
        <v>0</v>
      </c>
      <c r="H513" s="230">
        <v>0</v>
      </c>
      <c r="I513" s="234">
        <f t="shared" si="208"/>
        <v>10000</v>
      </c>
      <c r="J513" s="936">
        <v>0</v>
      </c>
      <c r="K513" s="241">
        <f t="shared" si="209"/>
        <v>10000</v>
      </c>
      <c r="L513" s="236">
        <f t="shared" si="210"/>
        <v>0</v>
      </c>
      <c r="M513" s="242"/>
      <c r="N513" s="242"/>
      <c r="O513" s="242"/>
      <c r="P513" s="236"/>
      <c r="Q513" s="236"/>
      <c r="R513" s="242"/>
      <c r="S513" s="236">
        <v>10000</v>
      </c>
      <c r="T513" s="236">
        <f t="shared" si="211"/>
        <v>0</v>
      </c>
      <c r="U513" s="236"/>
      <c r="V513" s="236"/>
      <c r="W513" s="236"/>
      <c r="X513" s="236"/>
      <c r="Y513" s="236"/>
      <c r="Z513" s="236"/>
      <c r="AA513" s="236"/>
      <c r="AB513" s="236"/>
      <c r="AC513" s="236"/>
      <c r="AD513" s="236"/>
      <c r="AE513" s="236"/>
    </row>
    <row r="514" spans="1:31" x14ac:dyDescent="0.2">
      <c r="A514" s="227"/>
      <c r="B514" s="227"/>
      <c r="C514" s="228" t="s">
        <v>410</v>
      </c>
      <c r="D514" s="229" t="s">
        <v>411</v>
      </c>
      <c r="E514" s="230" t="s">
        <v>68</v>
      </c>
      <c r="F514" s="231">
        <v>8903.5400000000009</v>
      </c>
      <c r="G514" s="232">
        <f t="shared" si="191"/>
        <v>0.89035400000000009</v>
      </c>
      <c r="H514" s="230" t="s">
        <v>68</v>
      </c>
      <c r="I514" s="234">
        <f t="shared" si="208"/>
        <v>13000</v>
      </c>
      <c r="J514" s="936">
        <f t="shared" si="192"/>
        <v>1.3</v>
      </c>
      <c r="K514" s="241">
        <f t="shared" si="209"/>
        <v>13000</v>
      </c>
      <c r="L514" s="236">
        <f t="shared" si="210"/>
        <v>0</v>
      </c>
      <c r="M514" s="242"/>
      <c r="N514" s="242"/>
      <c r="O514" s="242"/>
      <c r="P514" s="236"/>
      <c r="Q514" s="236"/>
      <c r="R514" s="242"/>
      <c r="S514" s="236">
        <v>13000</v>
      </c>
      <c r="T514" s="236">
        <f t="shared" si="211"/>
        <v>0</v>
      </c>
      <c r="U514" s="236"/>
      <c r="V514" s="236"/>
      <c r="W514" s="236"/>
      <c r="X514" s="236"/>
      <c r="Y514" s="236"/>
      <c r="Z514" s="236"/>
      <c r="AA514" s="236"/>
      <c r="AB514" s="236"/>
      <c r="AC514" s="236"/>
      <c r="AD514" s="236"/>
      <c r="AE514" s="236"/>
    </row>
    <row r="515" spans="1:31" x14ac:dyDescent="0.2">
      <c r="A515" s="227"/>
      <c r="B515" s="227"/>
      <c r="C515" s="228" t="s">
        <v>424</v>
      </c>
      <c r="D515" s="229" t="s">
        <v>425</v>
      </c>
      <c r="E515" s="230" t="s">
        <v>351</v>
      </c>
      <c r="F515" s="231">
        <v>2345.5100000000002</v>
      </c>
      <c r="G515" s="232">
        <f t="shared" si="191"/>
        <v>0.58637750000000011</v>
      </c>
      <c r="H515" s="230" t="s">
        <v>351</v>
      </c>
      <c r="I515" s="234">
        <f t="shared" si="208"/>
        <v>4000</v>
      </c>
      <c r="J515" s="936">
        <f t="shared" si="192"/>
        <v>1</v>
      </c>
      <c r="K515" s="241">
        <f t="shared" si="209"/>
        <v>4000</v>
      </c>
      <c r="L515" s="236">
        <f t="shared" si="210"/>
        <v>0</v>
      </c>
      <c r="M515" s="242"/>
      <c r="N515" s="242"/>
      <c r="O515" s="242"/>
      <c r="P515" s="236"/>
      <c r="Q515" s="236"/>
      <c r="R515" s="242"/>
      <c r="S515" s="236">
        <v>4000</v>
      </c>
      <c r="T515" s="236">
        <f t="shared" si="211"/>
        <v>0</v>
      </c>
      <c r="U515" s="236"/>
      <c r="V515" s="236"/>
      <c r="W515" s="236"/>
      <c r="X515" s="236"/>
      <c r="Y515" s="236"/>
      <c r="Z515" s="236"/>
      <c r="AA515" s="236"/>
      <c r="AB515" s="236"/>
      <c r="AC515" s="236"/>
      <c r="AD515" s="236"/>
      <c r="AE515" s="236"/>
    </row>
    <row r="516" spans="1:31" x14ac:dyDescent="0.2">
      <c r="A516" s="227"/>
      <c r="B516" s="227"/>
      <c r="C516" s="228" t="s">
        <v>413</v>
      </c>
      <c r="D516" s="229" t="s">
        <v>414</v>
      </c>
      <c r="E516" s="230" t="s">
        <v>61</v>
      </c>
      <c r="F516" s="231">
        <v>22842.2</v>
      </c>
      <c r="G516" s="232">
        <f t="shared" si="191"/>
        <v>0.91368800000000006</v>
      </c>
      <c r="H516" s="230" t="s">
        <v>61</v>
      </c>
      <c r="I516" s="234">
        <f t="shared" si="208"/>
        <v>39000</v>
      </c>
      <c r="J516" s="936">
        <f t="shared" si="192"/>
        <v>1.56</v>
      </c>
      <c r="K516" s="241">
        <f t="shared" si="209"/>
        <v>39000</v>
      </c>
      <c r="L516" s="236">
        <f t="shared" si="210"/>
        <v>0</v>
      </c>
      <c r="M516" s="242"/>
      <c r="N516" s="242"/>
      <c r="O516" s="242"/>
      <c r="P516" s="236"/>
      <c r="Q516" s="236"/>
      <c r="R516" s="242"/>
      <c r="S516" s="236">
        <v>39000</v>
      </c>
      <c r="T516" s="236">
        <f t="shared" si="211"/>
        <v>0</v>
      </c>
      <c r="U516" s="236"/>
      <c r="V516" s="236"/>
      <c r="W516" s="236"/>
      <c r="X516" s="236"/>
      <c r="Y516" s="236"/>
      <c r="Z516" s="236"/>
      <c r="AA516" s="236"/>
      <c r="AB516" s="236"/>
      <c r="AC516" s="236"/>
      <c r="AD516" s="236"/>
      <c r="AE516" s="236"/>
    </row>
    <row r="517" spans="1:31" x14ac:dyDescent="0.2">
      <c r="A517" s="227"/>
      <c r="B517" s="227"/>
      <c r="C517" s="228" t="s">
        <v>451</v>
      </c>
      <c r="D517" s="229" t="s">
        <v>452</v>
      </c>
      <c r="E517" s="230" t="s">
        <v>113</v>
      </c>
      <c r="F517" s="231">
        <v>760.27</v>
      </c>
      <c r="G517" s="232">
        <f t="shared" si="191"/>
        <v>0.76027</v>
      </c>
      <c r="H517" s="230" t="s">
        <v>113</v>
      </c>
      <c r="I517" s="234">
        <f t="shared" si="208"/>
        <v>1000</v>
      </c>
      <c r="J517" s="936">
        <f t="shared" si="192"/>
        <v>1</v>
      </c>
      <c r="K517" s="241">
        <f t="shared" si="209"/>
        <v>1000</v>
      </c>
      <c r="L517" s="236">
        <f t="shared" si="210"/>
        <v>0</v>
      </c>
      <c r="M517" s="242"/>
      <c r="N517" s="242"/>
      <c r="O517" s="242"/>
      <c r="P517" s="236"/>
      <c r="Q517" s="236"/>
      <c r="R517" s="242"/>
      <c r="S517" s="236">
        <v>1000</v>
      </c>
      <c r="T517" s="236">
        <f t="shared" si="211"/>
        <v>0</v>
      </c>
      <c r="U517" s="236"/>
      <c r="V517" s="236"/>
      <c r="W517" s="236"/>
      <c r="X517" s="236"/>
      <c r="Y517" s="236"/>
      <c r="Z517" s="236"/>
      <c r="AA517" s="236"/>
      <c r="AB517" s="236"/>
      <c r="AC517" s="236"/>
      <c r="AD517" s="236"/>
      <c r="AE517" s="236"/>
    </row>
    <row r="518" spans="1:31" x14ac:dyDescent="0.2">
      <c r="A518" s="227"/>
      <c r="B518" s="227"/>
      <c r="C518" s="228" t="s">
        <v>537</v>
      </c>
      <c r="D518" s="229" t="s">
        <v>538</v>
      </c>
      <c r="E518" s="230" t="s">
        <v>882</v>
      </c>
      <c r="F518" s="231">
        <v>3555</v>
      </c>
      <c r="G518" s="232">
        <f t="shared" si="191"/>
        <v>1</v>
      </c>
      <c r="H518" s="230" t="s">
        <v>882</v>
      </c>
      <c r="I518" s="234">
        <f t="shared" si="208"/>
        <v>4555</v>
      </c>
      <c r="J518" s="936">
        <f t="shared" si="192"/>
        <v>1.2812939521800282</v>
      </c>
      <c r="K518" s="241">
        <f t="shared" si="209"/>
        <v>4555</v>
      </c>
      <c r="L518" s="236">
        <f t="shared" si="210"/>
        <v>0</v>
      </c>
      <c r="M518" s="242"/>
      <c r="N518" s="242"/>
      <c r="O518" s="242"/>
      <c r="P518" s="236"/>
      <c r="Q518" s="236"/>
      <c r="R518" s="242"/>
      <c r="S518" s="236">
        <v>4555</v>
      </c>
      <c r="T518" s="236">
        <f t="shared" si="211"/>
        <v>0</v>
      </c>
      <c r="U518" s="236"/>
      <c r="V518" s="236"/>
      <c r="W518" s="236"/>
      <c r="X518" s="236"/>
      <c r="Y518" s="236"/>
      <c r="Z518" s="236"/>
      <c r="AA518" s="236"/>
      <c r="AB518" s="236"/>
      <c r="AC518" s="236"/>
      <c r="AD518" s="236"/>
      <c r="AE518" s="236"/>
    </row>
    <row r="519" spans="1:31" ht="56.25" x14ac:dyDescent="0.2">
      <c r="A519" s="227"/>
      <c r="B519" s="227"/>
      <c r="C519" s="228" t="s">
        <v>875</v>
      </c>
      <c r="D519" s="229" t="s">
        <v>876</v>
      </c>
      <c r="E519" s="230" t="s">
        <v>335</v>
      </c>
      <c r="F519" s="231">
        <v>2270.9</v>
      </c>
      <c r="G519" s="232">
        <f t="shared" si="191"/>
        <v>0.45418000000000003</v>
      </c>
      <c r="H519" s="233">
        <v>2271.7800000000002</v>
      </c>
      <c r="I519" s="234">
        <f t="shared" si="208"/>
        <v>5000</v>
      </c>
      <c r="J519" s="936">
        <f t="shared" si="192"/>
        <v>1</v>
      </c>
      <c r="K519" s="241">
        <f t="shared" si="209"/>
        <v>5000</v>
      </c>
      <c r="L519" s="236">
        <f t="shared" si="210"/>
        <v>5000</v>
      </c>
      <c r="M519" s="242"/>
      <c r="N519" s="242"/>
      <c r="O519" s="242"/>
      <c r="P519" s="236">
        <v>5000</v>
      </c>
      <c r="Q519" s="236"/>
      <c r="R519" s="242"/>
      <c r="S519" s="236">
        <v>0</v>
      </c>
      <c r="T519" s="236">
        <f t="shared" si="211"/>
        <v>0</v>
      </c>
      <c r="U519" s="236"/>
      <c r="V519" s="236"/>
      <c r="W519" s="236"/>
      <c r="X519" s="236"/>
      <c r="Y519" s="236"/>
      <c r="Z519" s="236"/>
      <c r="AA519" s="236"/>
      <c r="AB519" s="236"/>
      <c r="AC519" s="236"/>
      <c r="AD519" s="236"/>
      <c r="AE519" s="236"/>
    </row>
    <row r="520" spans="1:31" ht="22.5" x14ac:dyDescent="0.2">
      <c r="A520" s="227"/>
      <c r="B520" s="227"/>
      <c r="C520" s="228" t="s">
        <v>540</v>
      </c>
      <c r="D520" s="229" t="s">
        <v>541</v>
      </c>
      <c r="E520" s="230" t="s">
        <v>557</v>
      </c>
      <c r="F520" s="231">
        <v>1770.32</v>
      </c>
      <c r="G520" s="232">
        <f t="shared" si="191"/>
        <v>0.59010666666666667</v>
      </c>
      <c r="H520" s="233">
        <v>3000</v>
      </c>
      <c r="I520" s="234">
        <f t="shared" si="208"/>
        <v>3000</v>
      </c>
      <c r="J520" s="936">
        <f t="shared" si="192"/>
        <v>1</v>
      </c>
      <c r="K520" s="241">
        <f t="shared" si="209"/>
        <v>3000</v>
      </c>
      <c r="L520" s="236">
        <f t="shared" si="210"/>
        <v>0</v>
      </c>
      <c r="M520" s="242"/>
      <c r="N520" s="242"/>
      <c r="O520" s="242"/>
      <c r="P520" s="236"/>
      <c r="Q520" s="236"/>
      <c r="R520" s="242"/>
      <c r="S520" s="236">
        <v>3000</v>
      </c>
      <c r="T520" s="236">
        <f t="shared" si="211"/>
        <v>0</v>
      </c>
      <c r="U520" s="236"/>
      <c r="V520" s="236"/>
      <c r="W520" s="236"/>
      <c r="X520" s="236"/>
      <c r="Y520" s="236"/>
      <c r="Z520" s="236"/>
      <c r="AA520" s="236"/>
      <c r="AB520" s="236"/>
      <c r="AC520" s="236"/>
      <c r="AD520" s="236"/>
      <c r="AE520" s="236"/>
    </row>
    <row r="521" spans="1:31" ht="15" x14ac:dyDescent="0.2">
      <c r="A521" s="219"/>
      <c r="B521" s="220" t="s">
        <v>338</v>
      </c>
      <c r="C521" s="221"/>
      <c r="D521" s="222" t="s">
        <v>339</v>
      </c>
      <c r="E521" s="223">
        <f>E522+E523+E524</f>
        <v>200</v>
      </c>
      <c r="F521" s="239">
        <f t="shared" ref="F521:AE521" si="212">F522+F523+F524</f>
        <v>102.88</v>
      </c>
      <c r="G521" s="238">
        <f t="shared" si="191"/>
        <v>0.51439999999999997</v>
      </c>
      <c r="H521" s="239">
        <f t="shared" si="212"/>
        <v>200</v>
      </c>
      <c r="I521" s="240">
        <f t="shared" si="212"/>
        <v>0</v>
      </c>
      <c r="J521" s="937">
        <f t="shared" si="192"/>
        <v>0</v>
      </c>
      <c r="K521" s="925">
        <f t="shared" si="212"/>
        <v>0</v>
      </c>
      <c r="L521" s="223">
        <f t="shared" si="212"/>
        <v>0</v>
      </c>
      <c r="M521" s="223">
        <f t="shared" si="212"/>
        <v>0</v>
      </c>
      <c r="N521" s="223">
        <f t="shared" si="212"/>
        <v>0</v>
      </c>
      <c r="O521" s="223">
        <f t="shared" si="212"/>
        <v>0</v>
      </c>
      <c r="P521" s="223">
        <f t="shared" si="212"/>
        <v>0</v>
      </c>
      <c r="Q521" s="223">
        <f t="shared" si="212"/>
        <v>0</v>
      </c>
      <c r="R521" s="226">
        <f>R522+R523+R524</f>
        <v>0</v>
      </c>
      <c r="S521" s="223">
        <f t="shared" si="212"/>
        <v>0</v>
      </c>
      <c r="T521" s="223">
        <f t="shared" si="212"/>
        <v>0</v>
      </c>
      <c r="U521" s="223">
        <f t="shared" si="212"/>
        <v>0</v>
      </c>
      <c r="V521" s="223">
        <f t="shared" si="212"/>
        <v>0</v>
      </c>
      <c r="W521" s="223">
        <f t="shared" si="212"/>
        <v>0</v>
      </c>
      <c r="X521" s="223">
        <f t="shared" si="212"/>
        <v>0</v>
      </c>
      <c r="Y521" s="223">
        <f t="shared" si="212"/>
        <v>0</v>
      </c>
      <c r="Z521" s="223">
        <f t="shared" si="212"/>
        <v>0</v>
      </c>
      <c r="AA521" s="223">
        <f t="shared" si="212"/>
        <v>0</v>
      </c>
      <c r="AB521" s="223">
        <f t="shared" si="212"/>
        <v>0</v>
      </c>
      <c r="AC521" s="223">
        <f t="shared" si="212"/>
        <v>0</v>
      </c>
      <c r="AD521" s="223">
        <f t="shared" si="212"/>
        <v>0</v>
      </c>
      <c r="AE521" s="223">
        <f t="shared" si="212"/>
        <v>0</v>
      </c>
    </row>
    <row r="522" spans="1:31" x14ac:dyDescent="0.2">
      <c r="A522" s="227"/>
      <c r="B522" s="227"/>
      <c r="C522" s="228" t="s">
        <v>401</v>
      </c>
      <c r="D522" s="229" t="s">
        <v>402</v>
      </c>
      <c r="E522" s="230" t="s">
        <v>883</v>
      </c>
      <c r="F522" s="231">
        <v>85.8</v>
      </c>
      <c r="G522" s="232">
        <f t="shared" si="191"/>
        <v>0.514419329696025</v>
      </c>
      <c r="H522" s="230" t="s">
        <v>883</v>
      </c>
      <c r="I522" s="234">
        <f>K522</f>
        <v>0</v>
      </c>
      <c r="J522" s="936">
        <f t="shared" si="192"/>
        <v>0</v>
      </c>
      <c r="K522" s="241">
        <f>L522+S522+T522</f>
        <v>0</v>
      </c>
      <c r="L522" s="236">
        <f>SUM(M522:R522)</f>
        <v>0</v>
      </c>
      <c r="M522" s="242"/>
      <c r="N522" s="242"/>
      <c r="O522" s="242"/>
      <c r="P522" s="242"/>
      <c r="Q522" s="242"/>
      <c r="R522" s="242"/>
      <c r="S522" s="242"/>
      <c r="T522" s="236">
        <f>SUM(U522:AD522)</f>
        <v>0</v>
      </c>
      <c r="U522" s="242"/>
      <c r="V522" s="242"/>
      <c r="W522" s="242"/>
      <c r="X522" s="242"/>
      <c r="Y522" s="242"/>
      <c r="Z522" s="242"/>
      <c r="AA522" s="242"/>
      <c r="AB522" s="242"/>
      <c r="AC522" s="242"/>
      <c r="AD522" s="242"/>
      <c r="AE522" s="242"/>
    </row>
    <row r="523" spans="1:31" x14ac:dyDescent="0.2">
      <c r="A523" s="227"/>
      <c r="B523" s="227"/>
      <c r="C523" s="228" t="s">
        <v>404</v>
      </c>
      <c r="D523" s="229" t="s">
        <v>405</v>
      </c>
      <c r="E523" s="230" t="s">
        <v>884</v>
      </c>
      <c r="F523" s="231">
        <v>14.98</v>
      </c>
      <c r="G523" s="232">
        <f t="shared" si="191"/>
        <v>0.51442307692307687</v>
      </c>
      <c r="H523" s="230" t="s">
        <v>884</v>
      </c>
      <c r="I523" s="234">
        <f t="shared" ref="I523:I524" si="213">K523</f>
        <v>0</v>
      </c>
      <c r="J523" s="936">
        <f t="shared" si="192"/>
        <v>0</v>
      </c>
      <c r="K523" s="241">
        <f t="shared" ref="K523:K524" si="214">L523+S523+T523</f>
        <v>0</v>
      </c>
      <c r="L523" s="236">
        <f>SUM(M523:R523)</f>
        <v>0</v>
      </c>
      <c r="M523" s="242"/>
      <c r="N523" s="242"/>
      <c r="O523" s="242"/>
      <c r="P523" s="242"/>
      <c r="Q523" s="242"/>
      <c r="R523" s="242"/>
      <c r="S523" s="242"/>
      <c r="T523" s="236">
        <f>SUM(U523:AD523)</f>
        <v>0</v>
      </c>
      <c r="U523" s="242"/>
      <c r="V523" s="242"/>
      <c r="W523" s="242"/>
      <c r="X523" s="242"/>
      <c r="Y523" s="242"/>
      <c r="Z523" s="242"/>
      <c r="AA523" s="242"/>
      <c r="AB523" s="242"/>
      <c r="AC523" s="242"/>
      <c r="AD523" s="242"/>
      <c r="AE523" s="242"/>
    </row>
    <row r="524" spans="1:31" x14ac:dyDescent="0.2">
      <c r="A524" s="227"/>
      <c r="B524" s="227"/>
      <c r="C524" s="228" t="s">
        <v>407</v>
      </c>
      <c r="D524" s="229" t="s">
        <v>408</v>
      </c>
      <c r="E524" s="230" t="s">
        <v>885</v>
      </c>
      <c r="F524" s="231">
        <v>2.1</v>
      </c>
      <c r="G524" s="232">
        <f t="shared" si="191"/>
        <v>0.51344743276283622</v>
      </c>
      <c r="H524" s="230" t="s">
        <v>885</v>
      </c>
      <c r="I524" s="234">
        <f t="shared" si="213"/>
        <v>0</v>
      </c>
      <c r="J524" s="936">
        <f t="shared" si="192"/>
        <v>0</v>
      </c>
      <c r="K524" s="241">
        <f t="shared" si="214"/>
        <v>0</v>
      </c>
      <c r="L524" s="236">
        <f>SUM(M524:R524)</f>
        <v>0</v>
      </c>
      <c r="M524" s="242"/>
      <c r="N524" s="242"/>
      <c r="O524" s="242"/>
      <c r="P524" s="242"/>
      <c r="Q524" s="242"/>
      <c r="R524" s="242"/>
      <c r="S524" s="242"/>
      <c r="T524" s="236">
        <f>SUM(U524:AD524)</f>
        <v>0</v>
      </c>
      <c r="U524" s="242"/>
      <c r="V524" s="242"/>
      <c r="W524" s="242"/>
      <c r="X524" s="242"/>
      <c r="Y524" s="242"/>
      <c r="Z524" s="242"/>
      <c r="AA524" s="242"/>
      <c r="AB524" s="242"/>
      <c r="AC524" s="242"/>
      <c r="AD524" s="242"/>
      <c r="AE524" s="242"/>
    </row>
    <row r="525" spans="1:31" ht="15" x14ac:dyDescent="0.2">
      <c r="A525" s="219"/>
      <c r="B525" s="220" t="s">
        <v>341</v>
      </c>
      <c r="C525" s="221"/>
      <c r="D525" s="222" t="s">
        <v>342</v>
      </c>
      <c r="E525" s="223">
        <f>E526+E527+E528+E529+E530+E531+E532+E533+E534+E535+E536</f>
        <v>1067180</v>
      </c>
      <c r="F525" s="239">
        <f t="shared" ref="F525:AE525" si="215">F526+F527+F528+F529+F530+F531+F532+F533+F534+F535+F536</f>
        <v>849751.49</v>
      </c>
      <c r="G525" s="238">
        <f t="shared" si="191"/>
        <v>0.79625882231676004</v>
      </c>
      <c r="H525" s="239">
        <f t="shared" si="215"/>
        <v>1067180</v>
      </c>
      <c r="I525" s="240">
        <f t="shared" si="215"/>
        <v>150757</v>
      </c>
      <c r="J525" s="937">
        <f t="shared" si="192"/>
        <v>0.14126670289922974</v>
      </c>
      <c r="K525" s="925">
        <f t="shared" si="215"/>
        <v>150757</v>
      </c>
      <c r="L525" s="223">
        <f t="shared" si="215"/>
        <v>0</v>
      </c>
      <c r="M525" s="223">
        <f t="shared" si="215"/>
        <v>0</v>
      </c>
      <c r="N525" s="223">
        <f t="shared" si="215"/>
        <v>0</v>
      </c>
      <c r="O525" s="223">
        <f t="shared" si="215"/>
        <v>0</v>
      </c>
      <c r="P525" s="223">
        <f t="shared" si="215"/>
        <v>0</v>
      </c>
      <c r="Q525" s="223">
        <f t="shared" si="215"/>
        <v>0</v>
      </c>
      <c r="R525" s="226">
        <f>R526+R527+R528+R529+R530+R531+R532+R533+R534+R535+R536</f>
        <v>0</v>
      </c>
      <c r="S525" s="223">
        <f t="shared" si="215"/>
        <v>150757</v>
      </c>
      <c r="T525" s="223">
        <f t="shared" si="215"/>
        <v>0</v>
      </c>
      <c r="U525" s="223">
        <f t="shared" si="215"/>
        <v>0</v>
      </c>
      <c r="V525" s="223">
        <f t="shared" si="215"/>
        <v>0</v>
      </c>
      <c r="W525" s="223">
        <f t="shared" si="215"/>
        <v>0</v>
      </c>
      <c r="X525" s="223">
        <f t="shared" si="215"/>
        <v>0</v>
      </c>
      <c r="Y525" s="223">
        <f t="shared" si="215"/>
        <v>0</v>
      </c>
      <c r="Z525" s="223">
        <f t="shared" si="215"/>
        <v>0</v>
      </c>
      <c r="AA525" s="223">
        <f t="shared" si="215"/>
        <v>0</v>
      </c>
      <c r="AB525" s="223">
        <f t="shared" si="215"/>
        <v>0</v>
      </c>
      <c r="AC525" s="223">
        <f t="shared" si="215"/>
        <v>0</v>
      </c>
      <c r="AD525" s="223">
        <f t="shared" si="215"/>
        <v>0</v>
      </c>
      <c r="AE525" s="223">
        <f t="shared" si="215"/>
        <v>0</v>
      </c>
    </row>
    <row r="526" spans="1:31" x14ac:dyDescent="0.2">
      <c r="A526" s="227"/>
      <c r="B526" s="227"/>
      <c r="C526" s="228" t="s">
        <v>491</v>
      </c>
      <c r="D526" s="229" t="s">
        <v>492</v>
      </c>
      <c r="E526" s="230" t="s">
        <v>95</v>
      </c>
      <c r="F526" s="231">
        <v>0</v>
      </c>
      <c r="G526" s="232">
        <f t="shared" si="191"/>
        <v>0</v>
      </c>
      <c r="H526" s="230" t="s">
        <v>95</v>
      </c>
      <c r="I526" s="234">
        <f>K526</f>
        <v>1500</v>
      </c>
      <c r="J526" s="936">
        <f t="shared" si="192"/>
        <v>0.75</v>
      </c>
      <c r="K526" s="241">
        <f>L526+S526+T526</f>
        <v>1500</v>
      </c>
      <c r="L526" s="236">
        <f>SUM(M526:R526)</f>
        <v>0</v>
      </c>
      <c r="M526" s="236"/>
      <c r="N526" s="236"/>
      <c r="O526" s="236"/>
      <c r="P526" s="236"/>
      <c r="Q526" s="236"/>
      <c r="R526" s="236"/>
      <c r="S526" s="236">
        <v>1500</v>
      </c>
      <c r="T526" s="236">
        <f>SUM(U526:AD526)</f>
        <v>0</v>
      </c>
      <c r="U526" s="236"/>
      <c r="V526" s="236"/>
      <c r="W526" s="236"/>
      <c r="X526" s="236"/>
      <c r="Y526" s="236"/>
      <c r="Z526" s="236"/>
      <c r="AA526" s="236"/>
      <c r="AB526" s="236"/>
      <c r="AC526" s="236"/>
      <c r="AD526" s="236"/>
      <c r="AE526" s="236"/>
    </row>
    <row r="527" spans="1:31" x14ac:dyDescent="0.2">
      <c r="A527" s="227"/>
      <c r="B527" s="227"/>
      <c r="C527" s="228" t="s">
        <v>807</v>
      </c>
      <c r="D527" s="229" t="s">
        <v>808</v>
      </c>
      <c r="E527" s="230" t="s">
        <v>681</v>
      </c>
      <c r="F527" s="231">
        <v>725550</v>
      </c>
      <c r="G527" s="232">
        <f t="shared" si="191"/>
        <v>0.8061666666666667</v>
      </c>
      <c r="H527" s="230" t="s">
        <v>681</v>
      </c>
      <c r="I527" s="234">
        <f t="shared" ref="I527:I536" si="216">K527</f>
        <v>0</v>
      </c>
      <c r="J527" s="936">
        <f t="shared" si="192"/>
        <v>0</v>
      </c>
      <c r="K527" s="241">
        <f t="shared" ref="K527:K536" si="217">L527+S527+T527</f>
        <v>0</v>
      </c>
      <c r="L527" s="236">
        <f t="shared" ref="L527:L536" si="218">SUM(M527:R527)</f>
        <v>0</v>
      </c>
      <c r="M527" s="236"/>
      <c r="N527" s="236"/>
      <c r="O527" s="236"/>
      <c r="P527" s="236"/>
      <c r="Q527" s="236"/>
      <c r="R527" s="236"/>
      <c r="S527" s="236">
        <v>0</v>
      </c>
      <c r="T527" s="236">
        <f t="shared" ref="T527:T536" si="219">SUM(U527:AD527)</f>
        <v>0</v>
      </c>
      <c r="U527" s="236"/>
      <c r="V527" s="236"/>
      <c r="W527" s="236"/>
      <c r="X527" s="236"/>
      <c r="Y527" s="236"/>
      <c r="Z527" s="236"/>
      <c r="AA527" s="236"/>
      <c r="AB527" s="236"/>
      <c r="AC527" s="236"/>
      <c r="AD527" s="236"/>
      <c r="AE527" s="236"/>
    </row>
    <row r="528" spans="1:31" x14ac:dyDescent="0.2">
      <c r="A528" s="227"/>
      <c r="B528" s="227"/>
      <c r="C528" s="228" t="s">
        <v>401</v>
      </c>
      <c r="D528" s="229" t="s">
        <v>402</v>
      </c>
      <c r="E528" s="230" t="s">
        <v>886</v>
      </c>
      <c r="F528" s="231">
        <v>87612.96</v>
      </c>
      <c r="G528" s="232">
        <f t="shared" si="191"/>
        <v>0.74374329371816639</v>
      </c>
      <c r="H528" s="230" t="s">
        <v>886</v>
      </c>
      <c r="I528" s="234">
        <f t="shared" si="216"/>
        <v>103980</v>
      </c>
      <c r="J528" s="936">
        <f t="shared" si="192"/>
        <v>0.88268251273344656</v>
      </c>
      <c r="K528" s="241">
        <f t="shared" si="217"/>
        <v>103980</v>
      </c>
      <c r="L528" s="236">
        <f t="shared" si="218"/>
        <v>0</v>
      </c>
      <c r="M528" s="236"/>
      <c r="N528" s="236"/>
      <c r="O528" s="236"/>
      <c r="P528" s="236"/>
      <c r="Q528" s="236"/>
      <c r="R528" s="236"/>
      <c r="S528" s="236">
        <v>103980</v>
      </c>
      <c r="T528" s="236">
        <f t="shared" si="219"/>
        <v>0</v>
      </c>
      <c r="U528" s="236"/>
      <c r="V528" s="236"/>
      <c r="W528" s="236"/>
      <c r="X528" s="236"/>
      <c r="Y528" s="236"/>
      <c r="Z528" s="236"/>
      <c r="AA528" s="236"/>
      <c r="AB528" s="236"/>
      <c r="AC528" s="236"/>
      <c r="AD528" s="236"/>
      <c r="AE528" s="236"/>
    </row>
    <row r="529" spans="1:31" x14ac:dyDescent="0.2">
      <c r="A529" s="227"/>
      <c r="B529" s="227"/>
      <c r="C529" s="228" t="s">
        <v>495</v>
      </c>
      <c r="D529" s="229" t="s">
        <v>496</v>
      </c>
      <c r="E529" s="230" t="s">
        <v>887</v>
      </c>
      <c r="F529" s="231">
        <v>6488.11</v>
      </c>
      <c r="G529" s="232">
        <f t="shared" si="191"/>
        <v>0.99055114503816788</v>
      </c>
      <c r="H529" s="230" t="s">
        <v>887</v>
      </c>
      <c r="I529" s="234">
        <f t="shared" si="216"/>
        <v>8700</v>
      </c>
      <c r="J529" s="936">
        <f t="shared" si="192"/>
        <v>1.3282442748091603</v>
      </c>
      <c r="K529" s="241">
        <f t="shared" si="217"/>
        <v>8700</v>
      </c>
      <c r="L529" s="236">
        <f t="shared" si="218"/>
        <v>0</v>
      </c>
      <c r="M529" s="236"/>
      <c r="N529" s="236"/>
      <c r="O529" s="236"/>
      <c r="P529" s="236"/>
      <c r="Q529" s="236"/>
      <c r="R529" s="236"/>
      <c r="S529" s="236">
        <v>8700</v>
      </c>
      <c r="T529" s="236">
        <f t="shared" si="219"/>
        <v>0</v>
      </c>
      <c r="U529" s="236"/>
      <c r="V529" s="236"/>
      <c r="W529" s="236"/>
      <c r="X529" s="236"/>
      <c r="Y529" s="236"/>
      <c r="Z529" s="236"/>
      <c r="AA529" s="236"/>
      <c r="AB529" s="236"/>
      <c r="AC529" s="236"/>
      <c r="AD529" s="236"/>
      <c r="AE529" s="236"/>
    </row>
    <row r="530" spans="1:31" x14ac:dyDescent="0.2">
      <c r="A530" s="227"/>
      <c r="B530" s="227"/>
      <c r="C530" s="228" t="s">
        <v>404</v>
      </c>
      <c r="D530" s="229" t="s">
        <v>405</v>
      </c>
      <c r="E530" s="230" t="s">
        <v>888</v>
      </c>
      <c r="F530" s="231">
        <v>14647.26</v>
      </c>
      <c r="G530" s="232">
        <f t="shared" ref="G530:G602" si="220">F530/E530</f>
        <v>0.67844683038898712</v>
      </c>
      <c r="H530" s="230" t="s">
        <v>888</v>
      </c>
      <c r="I530" s="234">
        <f t="shared" si="216"/>
        <v>19150</v>
      </c>
      <c r="J530" s="936">
        <f t="shared" ref="J530:J602" si="221">I530/E530</f>
        <v>0.8870093657072452</v>
      </c>
      <c r="K530" s="241">
        <f t="shared" si="217"/>
        <v>19150</v>
      </c>
      <c r="L530" s="236">
        <f t="shared" si="218"/>
        <v>0</v>
      </c>
      <c r="M530" s="236"/>
      <c r="N530" s="236"/>
      <c r="O530" s="236"/>
      <c r="P530" s="236"/>
      <c r="Q530" s="236"/>
      <c r="R530" s="236"/>
      <c r="S530" s="236">
        <v>19150</v>
      </c>
      <c r="T530" s="236">
        <f t="shared" si="219"/>
        <v>0</v>
      </c>
      <c r="U530" s="236"/>
      <c r="V530" s="236"/>
      <c r="W530" s="236"/>
      <c r="X530" s="236"/>
      <c r="Y530" s="236"/>
      <c r="Z530" s="236"/>
      <c r="AA530" s="236"/>
      <c r="AB530" s="236"/>
      <c r="AC530" s="236"/>
      <c r="AD530" s="236"/>
      <c r="AE530" s="236"/>
    </row>
    <row r="531" spans="1:31" x14ac:dyDescent="0.2">
      <c r="A531" s="227"/>
      <c r="B531" s="227"/>
      <c r="C531" s="228" t="s">
        <v>407</v>
      </c>
      <c r="D531" s="229" t="s">
        <v>408</v>
      </c>
      <c r="E531" s="230" t="s">
        <v>889</v>
      </c>
      <c r="F531" s="231">
        <v>1958.25</v>
      </c>
      <c r="G531" s="232">
        <f t="shared" si="220"/>
        <v>0.65101396276595747</v>
      </c>
      <c r="H531" s="230" t="s">
        <v>889</v>
      </c>
      <c r="I531" s="234">
        <f t="shared" si="216"/>
        <v>2687</v>
      </c>
      <c r="J531" s="936">
        <f t="shared" si="221"/>
        <v>0.89328457446808507</v>
      </c>
      <c r="K531" s="241">
        <f t="shared" si="217"/>
        <v>2687</v>
      </c>
      <c r="L531" s="236">
        <f t="shared" si="218"/>
        <v>0</v>
      </c>
      <c r="M531" s="236"/>
      <c r="N531" s="236"/>
      <c r="O531" s="236"/>
      <c r="P531" s="236"/>
      <c r="Q531" s="236"/>
      <c r="R531" s="236"/>
      <c r="S531" s="236">
        <v>2687</v>
      </c>
      <c r="T531" s="236">
        <f t="shared" si="219"/>
        <v>0</v>
      </c>
      <c r="U531" s="236"/>
      <c r="V531" s="236"/>
      <c r="W531" s="236"/>
      <c r="X531" s="236"/>
      <c r="Y531" s="236"/>
      <c r="Z531" s="236"/>
      <c r="AA531" s="236"/>
      <c r="AB531" s="236"/>
      <c r="AC531" s="236"/>
      <c r="AD531" s="236"/>
      <c r="AE531" s="236"/>
    </row>
    <row r="532" spans="1:31" x14ac:dyDescent="0.2">
      <c r="A532" s="227"/>
      <c r="B532" s="227"/>
      <c r="C532" s="228" t="s">
        <v>410</v>
      </c>
      <c r="D532" s="229" t="s">
        <v>411</v>
      </c>
      <c r="E532" s="230" t="s">
        <v>351</v>
      </c>
      <c r="F532" s="231">
        <v>1262.31</v>
      </c>
      <c r="G532" s="232">
        <f t="shared" si="220"/>
        <v>0.31557750000000001</v>
      </c>
      <c r="H532" s="230" t="s">
        <v>351</v>
      </c>
      <c r="I532" s="234">
        <f t="shared" si="216"/>
        <v>3000</v>
      </c>
      <c r="J532" s="936">
        <f t="shared" si="221"/>
        <v>0.75</v>
      </c>
      <c r="K532" s="241">
        <f t="shared" si="217"/>
        <v>3000</v>
      </c>
      <c r="L532" s="236">
        <f t="shared" si="218"/>
        <v>0</v>
      </c>
      <c r="M532" s="236"/>
      <c r="N532" s="236"/>
      <c r="O532" s="236"/>
      <c r="P532" s="236"/>
      <c r="Q532" s="236"/>
      <c r="R532" s="236"/>
      <c r="S532" s="236">
        <v>3000</v>
      </c>
      <c r="T532" s="236">
        <f t="shared" si="219"/>
        <v>0</v>
      </c>
      <c r="U532" s="236"/>
      <c r="V532" s="236"/>
      <c r="W532" s="236"/>
      <c r="X532" s="236"/>
      <c r="Y532" s="236"/>
      <c r="Z532" s="236"/>
      <c r="AA532" s="236"/>
      <c r="AB532" s="236"/>
      <c r="AC532" s="236"/>
      <c r="AD532" s="236"/>
      <c r="AE532" s="236"/>
    </row>
    <row r="533" spans="1:31" x14ac:dyDescent="0.2">
      <c r="A533" s="227"/>
      <c r="B533" s="227"/>
      <c r="C533" s="228" t="s">
        <v>413</v>
      </c>
      <c r="D533" s="229" t="s">
        <v>414</v>
      </c>
      <c r="E533" s="230" t="s">
        <v>890</v>
      </c>
      <c r="F533" s="231">
        <v>1992.6</v>
      </c>
      <c r="G533" s="232">
        <f t="shared" si="220"/>
        <v>1</v>
      </c>
      <c r="H533" s="230" t="s">
        <v>890</v>
      </c>
      <c r="I533" s="234">
        <f t="shared" si="216"/>
        <v>0</v>
      </c>
      <c r="J533" s="936">
        <f t="shared" si="221"/>
        <v>0</v>
      </c>
      <c r="K533" s="241">
        <f t="shared" si="217"/>
        <v>0</v>
      </c>
      <c r="L533" s="236">
        <f t="shared" si="218"/>
        <v>0</v>
      </c>
      <c r="M533" s="236"/>
      <c r="N533" s="236"/>
      <c r="O533" s="236"/>
      <c r="P533" s="236"/>
      <c r="Q533" s="236"/>
      <c r="R533" s="236"/>
      <c r="S533" s="236">
        <v>0</v>
      </c>
      <c r="T533" s="236">
        <f t="shared" si="219"/>
        <v>0</v>
      </c>
      <c r="U533" s="236"/>
      <c r="V533" s="236"/>
      <c r="W533" s="236"/>
      <c r="X533" s="236"/>
      <c r="Y533" s="236"/>
      <c r="Z533" s="236"/>
      <c r="AA533" s="236"/>
      <c r="AB533" s="236"/>
      <c r="AC533" s="236"/>
      <c r="AD533" s="236"/>
      <c r="AE533" s="236"/>
    </row>
    <row r="534" spans="1:31" x14ac:dyDescent="0.2">
      <c r="A534" s="227"/>
      <c r="B534" s="227"/>
      <c r="C534" s="228" t="s">
        <v>533</v>
      </c>
      <c r="D534" s="229" t="s">
        <v>534</v>
      </c>
      <c r="E534" s="230" t="s">
        <v>351</v>
      </c>
      <c r="F534" s="231">
        <v>4000</v>
      </c>
      <c r="G534" s="232">
        <f t="shared" si="220"/>
        <v>1</v>
      </c>
      <c r="H534" s="230" t="s">
        <v>351</v>
      </c>
      <c r="I534" s="234">
        <f t="shared" si="216"/>
        <v>7000</v>
      </c>
      <c r="J534" s="936">
        <f t="shared" si="221"/>
        <v>1.75</v>
      </c>
      <c r="K534" s="241">
        <f t="shared" si="217"/>
        <v>7000</v>
      </c>
      <c r="L534" s="236">
        <f t="shared" si="218"/>
        <v>0</v>
      </c>
      <c r="M534" s="236"/>
      <c r="N534" s="236"/>
      <c r="O534" s="236"/>
      <c r="P534" s="236"/>
      <c r="Q534" s="236"/>
      <c r="R534" s="236"/>
      <c r="S534" s="236">
        <v>7000</v>
      </c>
      <c r="T534" s="236">
        <f t="shared" si="219"/>
        <v>0</v>
      </c>
      <c r="U534" s="236"/>
      <c r="V534" s="236"/>
      <c r="W534" s="236"/>
      <c r="X534" s="236"/>
      <c r="Y534" s="236"/>
      <c r="Z534" s="236"/>
      <c r="AA534" s="236"/>
      <c r="AB534" s="236"/>
      <c r="AC534" s="236"/>
      <c r="AD534" s="236"/>
      <c r="AE534" s="236"/>
    </row>
    <row r="535" spans="1:31" x14ac:dyDescent="0.2">
      <c r="A535" s="227"/>
      <c r="B535" s="227"/>
      <c r="C535" s="228" t="s">
        <v>537</v>
      </c>
      <c r="D535" s="229" t="s">
        <v>538</v>
      </c>
      <c r="E535" s="230" t="s">
        <v>891</v>
      </c>
      <c r="F535" s="231">
        <v>4740</v>
      </c>
      <c r="G535" s="232">
        <f t="shared" si="220"/>
        <v>1</v>
      </c>
      <c r="H535" s="230" t="s">
        <v>891</v>
      </c>
      <c r="I535" s="234">
        <f t="shared" si="216"/>
        <v>4740</v>
      </c>
      <c r="J535" s="936">
        <f t="shared" si="221"/>
        <v>1</v>
      </c>
      <c r="K535" s="241">
        <f t="shared" si="217"/>
        <v>4740</v>
      </c>
      <c r="L535" s="236">
        <f t="shared" si="218"/>
        <v>0</v>
      </c>
      <c r="M535" s="236"/>
      <c r="N535" s="236"/>
      <c r="O535" s="236"/>
      <c r="P535" s="236"/>
      <c r="Q535" s="236"/>
      <c r="R535" s="236"/>
      <c r="S535" s="236">
        <v>4740</v>
      </c>
      <c r="T535" s="236">
        <f t="shared" si="219"/>
        <v>0</v>
      </c>
      <c r="U535" s="236"/>
      <c r="V535" s="236"/>
      <c r="W535" s="236"/>
      <c r="X535" s="236"/>
      <c r="Y535" s="236"/>
      <c r="Z535" s="236"/>
      <c r="AA535" s="236"/>
      <c r="AB535" s="236"/>
      <c r="AC535" s="236"/>
      <c r="AD535" s="236"/>
      <c r="AE535" s="236"/>
    </row>
    <row r="536" spans="1:31" ht="22.5" x14ac:dyDescent="0.2">
      <c r="A536" s="227"/>
      <c r="B536" s="227"/>
      <c r="C536" s="228" t="s">
        <v>540</v>
      </c>
      <c r="D536" s="229" t="s">
        <v>541</v>
      </c>
      <c r="E536" s="230" t="s">
        <v>465</v>
      </c>
      <c r="F536" s="231">
        <v>1500</v>
      </c>
      <c r="G536" s="232">
        <f t="shared" si="220"/>
        <v>1</v>
      </c>
      <c r="H536" s="230" t="s">
        <v>465</v>
      </c>
      <c r="I536" s="234">
        <f t="shared" si="216"/>
        <v>0</v>
      </c>
      <c r="J536" s="936">
        <f t="shared" si="221"/>
        <v>0</v>
      </c>
      <c r="K536" s="241">
        <f t="shared" si="217"/>
        <v>0</v>
      </c>
      <c r="L536" s="236">
        <f t="shared" si="218"/>
        <v>0</v>
      </c>
      <c r="M536" s="236"/>
      <c r="N536" s="236"/>
      <c r="O536" s="236"/>
      <c r="P536" s="236"/>
      <c r="Q536" s="236"/>
      <c r="R536" s="236"/>
      <c r="S536" s="236">
        <v>0</v>
      </c>
      <c r="T536" s="236">
        <f t="shared" si="219"/>
        <v>0</v>
      </c>
      <c r="U536" s="236"/>
      <c r="V536" s="236"/>
      <c r="W536" s="236"/>
      <c r="X536" s="236"/>
      <c r="Y536" s="236"/>
      <c r="Z536" s="236"/>
      <c r="AA536" s="236"/>
      <c r="AB536" s="236"/>
      <c r="AC536" s="236"/>
      <c r="AD536" s="236"/>
      <c r="AE536" s="236"/>
    </row>
    <row r="537" spans="1:31" ht="15" x14ac:dyDescent="0.2">
      <c r="A537" s="219"/>
      <c r="B537" s="220" t="s">
        <v>892</v>
      </c>
      <c r="C537" s="221"/>
      <c r="D537" s="222" t="s">
        <v>893</v>
      </c>
      <c r="E537" s="223" t="str">
        <f>E538</f>
        <v>149 128,00</v>
      </c>
      <c r="F537" s="239">
        <f t="shared" ref="F537:AE537" si="222">F538</f>
        <v>99356.23</v>
      </c>
      <c r="G537" s="238">
        <f t="shared" si="220"/>
        <v>0.66624798830534837</v>
      </c>
      <c r="H537" s="239">
        <f t="shared" si="222"/>
        <v>149128</v>
      </c>
      <c r="I537" s="240">
        <f t="shared" si="222"/>
        <v>175860</v>
      </c>
      <c r="J537" s="937">
        <f t="shared" si="221"/>
        <v>1.179255404752964</v>
      </c>
      <c r="K537" s="925">
        <f t="shared" si="222"/>
        <v>175860</v>
      </c>
      <c r="L537" s="223">
        <f t="shared" si="222"/>
        <v>0</v>
      </c>
      <c r="M537" s="223">
        <f t="shared" si="222"/>
        <v>0</v>
      </c>
      <c r="N537" s="223">
        <f t="shared" si="222"/>
        <v>0</v>
      </c>
      <c r="O537" s="223">
        <f t="shared" si="222"/>
        <v>0</v>
      </c>
      <c r="P537" s="223">
        <f t="shared" si="222"/>
        <v>0</v>
      </c>
      <c r="Q537" s="223">
        <f t="shared" si="222"/>
        <v>0</v>
      </c>
      <c r="R537" s="226">
        <f>R538</f>
        <v>0</v>
      </c>
      <c r="S537" s="223">
        <f t="shared" si="222"/>
        <v>175860</v>
      </c>
      <c r="T537" s="223">
        <f t="shared" si="222"/>
        <v>0</v>
      </c>
      <c r="U537" s="223">
        <f t="shared" si="222"/>
        <v>0</v>
      </c>
      <c r="V537" s="223">
        <f t="shared" si="222"/>
        <v>0</v>
      </c>
      <c r="W537" s="223">
        <f t="shared" si="222"/>
        <v>0</v>
      </c>
      <c r="X537" s="223">
        <f t="shared" si="222"/>
        <v>0</v>
      </c>
      <c r="Y537" s="223">
        <f t="shared" si="222"/>
        <v>0</v>
      </c>
      <c r="Z537" s="223">
        <f t="shared" si="222"/>
        <v>0</v>
      </c>
      <c r="AA537" s="223">
        <f t="shared" si="222"/>
        <v>0</v>
      </c>
      <c r="AB537" s="223">
        <f t="shared" si="222"/>
        <v>0</v>
      </c>
      <c r="AC537" s="223">
        <f t="shared" si="222"/>
        <v>0</v>
      </c>
      <c r="AD537" s="223">
        <f t="shared" si="222"/>
        <v>0</v>
      </c>
      <c r="AE537" s="223">
        <f t="shared" si="222"/>
        <v>0</v>
      </c>
    </row>
    <row r="538" spans="1:31" ht="22.5" x14ac:dyDescent="0.2">
      <c r="A538" s="227"/>
      <c r="B538" s="227"/>
      <c r="C538" s="228" t="s">
        <v>637</v>
      </c>
      <c r="D538" s="229" t="s">
        <v>638</v>
      </c>
      <c r="E538" s="230" t="s">
        <v>894</v>
      </c>
      <c r="F538" s="231">
        <v>99356.23</v>
      </c>
      <c r="G538" s="232">
        <f t="shared" si="220"/>
        <v>0.66624798830534837</v>
      </c>
      <c r="H538" s="233">
        <v>149128</v>
      </c>
      <c r="I538" s="234">
        <f>K538</f>
        <v>175860</v>
      </c>
      <c r="J538" s="936">
        <f t="shared" si="221"/>
        <v>1.179255404752964</v>
      </c>
      <c r="K538" s="241">
        <f>L538+S538+T538</f>
        <v>175860</v>
      </c>
      <c r="L538" s="236">
        <f>SUM(M538:R538)</f>
        <v>0</v>
      </c>
      <c r="M538" s="242"/>
      <c r="N538" s="242"/>
      <c r="O538" s="242"/>
      <c r="P538" s="236"/>
      <c r="Q538" s="236"/>
      <c r="R538" s="236"/>
      <c r="S538" s="236">
        <v>175860</v>
      </c>
      <c r="T538" s="236">
        <f>SUM(U538:AD538)</f>
        <v>0</v>
      </c>
      <c r="U538" s="236"/>
      <c r="V538" s="236"/>
      <c r="W538" s="236"/>
      <c r="X538" s="236"/>
      <c r="Y538" s="236"/>
      <c r="Z538" s="236"/>
      <c r="AA538" s="236"/>
      <c r="AB538" s="236"/>
      <c r="AC538" s="236"/>
      <c r="AD538" s="236"/>
      <c r="AE538" s="236"/>
    </row>
    <row r="539" spans="1:31" ht="15" x14ac:dyDescent="0.2">
      <c r="A539" s="219"/>
      <c r="B539" s="220" t="s">
        <v>895</v>
      </c>
      <c r="C539" s="221"/>
      <c r="D539" s="222" t="s">
        <v>896</v>
      </c>
      <c r="E539" s="223" t="str">
        <f>E540</f>
        <v>160 000,00</v>
      </c>
      <c r="F539" s="239">
        <f t="shared" ref="F539:AE539" si="223">F540</f>
        <v>101280.68</v>
      </c>
      <c r="G539" s="238">
        <f t="shared" si="220"/>
        <v>0.63300424999999994</v>
      </c>
      <c r="H539" s="239">
        <f t="shared" si="223"/>
        <v>155594.17000000001</v>
      </c>
      <c r="I539" s="240">
        <f t="shared" si="223"/>
        <v>174620</v>
      </c>
      <c r="J539" s="937">
        <f t="shared" si="221"/>
        <v>1.091375</v>
      </c>
      <c r="K539" s="925">
        <f t="shared" si="223"/>
        <v>174620</v>
      </c>
      <c r="L539" s="223">
        <f t="shared" si="223"/>
        <v>0</v>
      </c>
      <c r="M539" s="223">
        <f t="shared" si="223"/>
        <v>0</v>
      </c>
      <c r="N539" s="223">
        <f t="shared" si="223"/>
        <v>0</v>
      </c>
      <c r="O539" s="223">
        <f t="shared" si="223"/>
        <v>0</v>
      </c>
      <c r="P539" s="223">
        <f t="shared" si="223"/>
        <v>0</v>
      </c>
      <c r="Q539" s="223">
        <f t="shared" si="223"/>
        <v>0</v>
      </c>
      <c r="R539" s="226">
        <f>R540</f>
        <v>0</v>
      </c>
      <c r="S539" s="223">
        <f t="shared" si="223"/>
        <v>174620</v>
      </c>
      <c r="T539" s="223">
        <f t="shared" si="223"/>
        <v>0</v>
      </c>
      <c r="U539" s="223">
        <f t="shared" si="223"/>
        <v>0</v>
      </c>
      <c r="V539" s="223">
        <f t="shared" si="223"/>
        <v>0</v>
      </c>
      <c r="W539" s="223">
        <f t="shared" si="223"/>
        <v>0</v>
      </c>
      <c r="X539" s="223">
        <f t="shared" si="223"/>
        <v>0</v>
      </c>
      <c r="Y539" s="223">
        <f t="shared" si="223"/>
        <v>0</v>
      </c>
      <c r="Z539" s="223">
        <f t="shared" si="223"/>
        <v>0</v>
      </c>
      <c r="AA539" s="223">
        <f t="shared" si="223"/>
        <v>0</v>
      </c>
      <c r="AB539" s="223">
        <f t="shared" si="223"/>
        <v>0</v>
      </c>
      <c r="AC539" s="223">
        <f t="shared" si="223"/>
        <v>0</v>
      </c>
      <c r="AD539" s="223">
        <f t="shared" si="223"/>
        <v>0</v>
      </c>
      <c r="AE539" s="223">
        <f t="shared" si="223"/>
        <v>0</v>
      </c>
    </row>
    <row r="540" spans="1:31" ht="22.5" x14ac:dyDescent="0.2">
      <c r="A540" s="227"/>
      <c r="B540" s="227"/>
      <c r="C540" s="292" t="s">
        <v>637</v>
      </c>
      <c r="D540" s="293" t="s">
        <v>638</v>
      </c>
      <c r="E540" s="294" t="s">
        <v>897</v>
      </c>
      <c r="F540" s="295">
        <v>101280.68</v>
      </c>
      <c r="G540" s="296">
        <f t="shared" si="220"/>
        <v>0.63300424999999994</v>
      </c>
      <c r="H540" s="297">
        <v>155594.17000000001</v>
      </c>
      <c r="I540" s="298">
        <f>K540</f>
        <v>174620</v>
      </c>
      <c r="J540" s="941">
        <f t="shared" si="221"/>
        <v>1.091375</v>
      </c>
      <c r="K540" s="241">
        <f>L540+S540+T540</f>
        <v>174620</v>
      </c>
      <c r="L540" s="256">
        <f>SUM(M540:R540)</f>
        <v>0</v>
      </c>
      <c r="M540" s="299"/>
      <c r="N540" s="299"/>
      <c r="O540" s="256"/>
      <c r="P540" s="256"/>
      <c r="Q540" s="256"/>
      <c r="R540" s="299"/>
      <c r="S540" s="256">
        <v>174620</v>
      </c>
      <c r="T540" s="256">
        <f>SUM(U540:AD540)</f>
        <v>0</v>
      </c>
      <c r="U540" s="256"/>
      <c r="V540" s="256"/>
      <c r="W540" s="256"/>
      <c r="X540" s="256"/>
      <c r="Y540" s="256"/>
      <c r="Z540" s="256"/>
      <c r="AA540" s="299"/>
      <c r="AB540" s="299"/>
      <c r="AC540" s="299"/>
      <c r="AD540" s="299"/>
      <c r="AE540" s="299"/>
    </row>
    <row r="541" spans="1:31" ht="78.75" x14ac:dyDescent="0.2">
      <c r="A541" s="300"/>
      <c r="B541" s="301" t="s">
        <v>344</v>
      </c>
      <c r="C541" s="301"/>
      <c r="D541" s="302" t="s">
        <v>345</v>
      </c>
      <c r="E541" s="303">
        <f>E542</f>
        <v>0</v>
      </c>
      <c r="F541" s="303">
        <f>F542</f>
        <v>0</v>
      </c>
      <c r="G541" s="238">
        <v>0</v>
      </c>
      <c r="H541" s="304">
        <f>H542</f>
        <v>0</v>
      </c>
      <c r="I541" s="305">
        <f>I542</f>
        <v>60919</v>
      </c>
      <c r="J541" s="937">
        <v>0</v>
      </c>
      <c r="K541" s="929">
        <f>L541+S541</f>
        <v>60919</v>
      </c>
      <c r="L541" s="306">
        <f>SUM(M541:R541)</f>
        <v>0</v>
      </c>
      <c r="M541" s="307"/>
      <c r="N541" s="307"/>
      <c r="O541" s="306"/>
      <c r="P541" s="306"/>
      <c r="Q541" s="306"/>
      <c r="R541" s="307"/>
      <c r="S541" s="306">
        <f>S542</f>
        <v>60919</v>
      </c>
      <c r="T541" s="306"/>
      <c r="U541" s="306"/>
      <c r="V541" s="306"/>
      <c r="W541" s="306"/>
      <c r="X541" s="306"/>
      <c r="Y541" s="306"/>
      <c r="Z541" s="306"/>
      <c r="AA541" s="307"/>
      <c r="AB541" s="307"/>
      <c r="AC541" s="307"/>
      <c r="AD541" s="307"/>
      <c r="AE541" s="307"/>
    </row>
    <row r="542" spans="1:31" x14ac:dyDescent="0.2">
      <c r="A542" s="300"/>
      <c r="B542" s="308"/>
      <c r="C542" s="228" t="s">
        <v>804</v>
      </c>
      <c r="D542" s="229" t="s">
        <v>805</v>
      </c>
      <c r="E542" s="309">
        <v>0</v>
      </c>
      <c r="F542" s="231">
        <v>0</v>
      </c>
      <c r="G542" s="232">
        <v>0</v>
      </c>
      <c r="H542" s="233">
        <v>0</v>
      </c>
      <c r="I542" s="234">
        <f>K542</f>
        <v>60919</v>
      </c>
      <c r="J542" s="936">
        <v>0</v>
      </c>
      <c r="K542" s="930">
        <f>L542+S542</f>
        <v>60919</v>
      </c>
      <c r="L542" s="236">
        <f>SUM(M542:R542)</f>
        <v>0</v>
      </c>
      <c r="M542" s="242"/>
      <c r="N542" s="242"/>
      <c r="O542" s="236"/>
      <c r="P542" s="236"/>
      <c r="Q542" s="236"/>
      <c r="R542" s="242"/>
      <c r="S542" s="236">
        <v>60919</v>
      </c>
      <c r="T542" s="236"/>
      <c r="U542" s="236"/>
      <c r="V542" s="236"/>
      <c r="W542" s="236"/>
      <c r="X542" s="236"/>
      <c r="Y542" s="236"/>
      <c r="Z542" s="236"/>
      <c r="AA542" s="242"/>
      <c r="AB542" s="242"/>
      <c r="AC542" s="242"/>
      <c r="AD542" s="242"/>
      <c r="AE542" s="242"/>
    </row>
    <row r="543" spans="1:31" x14ac:dyDescent="0.2">
      <c r="A543" s="213" t="s">
        <v>346</v>
      </c>
      <c r="B543" s="310"/>
      <c r="C543" s="310"/>
      <c r="D543" s="311" t="s">
        <v>347</v>
      </c>
      <c r="E543" s="312">
        <f t="shared" ref="E543:AE543" si="224">E544+E550+E562+E564+E569+E571+E579+E583+E589+E585</f>
        <v>5382244.2000000002</v>
      </c>
      <c r="F543" s="313">
        <f t="shared" si="224"/>
        <v>3203132.5799999996</v>
      </c>
      <c r="G543" s="313">
        <f t="shared" si="224"/>
        <v>5.3417815594784699</v>
      </c>
      <c r="H543" s="313">
        <f t="shared" si="224"/>
        <v>5238852.88</v>
      </c>
      <c r="I543" s="314">
        <f t="shared" si="224"/>
        <v>6331719.0700000003</v>
      </c>
      <c r="J543" s="942">
        <f t="shared" si="224"/>
        <v>11.90749073811102</v>
      </c>
      <c r="K543" s="315">
        <f t="shared" si="224"/>
        <v>6331719.0700000003</v>
      </c>
      <c r="L543" s="312">
        <f t="shared" si="224"/>
        <v>6331719.0700000003</v>
      </c>
      <c r="M543" s="312">
        <f t="shared" si="224"/>
        <v>3778039</v>
      </c>
      <c r="N543" s="312">
        <f t="shared" si="224"/>
        <v>2270880</v>
      </c>
      <c r="O543" s="312">
        <f t="shared" si="224"/>
        <v>0</v>
      </c>
      <c r="P543" s="312">
        <f t="shared" si="224"/>
        <v>236400.07</v>
      </c>
      <c r="Q543" s="312">
        <f t="shared" si="224"/>
        <v>0</v>
      </c>
      <c r="R543" s="312">
        <f t="shared" si="224"/>
        <v>46400</v>
      </c>
      <c r="S543" s="312">
        <f t="shared" si="224"/>
        <v>0</v>
      </c>
      <c r="T543" s="312">
        <f t="shared" si="224"/>
        <v>0</v>
      </c>
      <c r="U543" s="312">
        <f t="shared" si="224"/>
        <v>0</v>
      </c>
      <c r="V543" s="312">
        <f t="shared" si="224"/>
        <v>0</v>
      </c>
      <c r="W543" s="312">
        <f t="shared" si="224"/>
        <v>0</v>
      </c>
      <c r="X543" s="312">
        <f t="shared" si="224"/>
        <v>0</v>
      </c>
      <c r="Y543" s="312">
        <f t="shared" si="224"/>
        <v>0</v>
      </c>
      <c r="Z543" s="312">
        <f t="shared" si="224"/>
        <v>0</v>
      </c>
      <c r="AA543" s="312">
        <f t="shared" si="224"/>
        <v>0</v>
      </c>
      <c r="AB543" s="312">
        <f t="shared" si="224"/>
        <v>0</v>
      </c>
      <c r="AC543" s="312">
        <f t="shared" si="224"/>
        <v>0</v>
      </c>
      <c r="AD543" s="312">
        <f t="shared" si="224"/>
        <v>0</v>
      </c>
      <c r="AE543" s="312">
        <f t="shared" si="224"/>
        <v>0</v>
      </c>
    </row>
    <row r="544" spans="1:31" ht="15" x14ac:dyDescent="0.2">
      <c r="A544" s="219"/>
      <c r="B544" s="220" t="s">
        <v>898</v>
      </c>
      <c r="C544" s="221"/>
      <c r="D544" s="222" t="s">
        <v>899</v>
      </c>
      <c r="E544" s="223">
        <f>E545+E546+E548+E549+E547</f>
        <v>426000</v>
      </c>
      <c r="F544" s="223">
        <f>F545+F546+F548+F549+F547</f>
        <v>178133.04</v>
      </c>
      <c r="G544" s="224">
        <f>F544/E544</f>
        <v>0.41815267605633805</v>
      </c>
      <c r="H544" s="223">
        <f>H545+H546+H548+H549+H547</f>
        <v>423304.12</v>
      </c>
      <c r="I544" s="240">
        <f>I545+I546+I548+I549+I547</f>
        <v>489000</v>
      </c>
      <c r="J544" s="937">
        <f t="shared" si="221"/>
        <v>1.147887323943662</v>
      </c>
      <c r="K544" s="925">
        <f t="shared" ref="K544:AE544" si="225">K545+K546+K548+K549+K547</f>
        <v>489000</v>
      </c>
      <c r="L544" s="223">
        <f t="shared" si="225"/>
        <v>489000</v>
      </c>
      <c r="M544" s="223">
        <f t="shared" si="225"/>
        <v>300000</v>
      </c>
      <c r="N544" s="223">
        <f t="shared" si="225"/>
        <v>189000</v>
      </c>
      <c r="O544" s="223">
        <f t="shared" si="225"/>
        <v>0</v>
      </c>
      <c r="P544" s="223">
        <f t="shared" si="225"/>
        <v>0</v>
      </c>
      <c r="Q544" s="223">
        <f t="shared" si="225"/>
        <v>0</v>
      </c>
      <c r="R544" s="223">
        <f t="shared" si="225"/>
        <v>0</v>
      </c>
      <c r="S544" s="223">
        <f t="shared" si="225"/>
        <v>0</v>
      </c>
      <c r="T544" s="223">
        <f t="shared" si="225"/>
        <v>0</v>
      </c>
      <c r="U544" s="223">
        <f t="shared" si="225"/>
        <v>0</v>
      </c>
      <c r="V544" s="223">
        <f t="shared" si="225"/>
        <v>0</v>
      </c>
      <c r="W544" s="223">
        <f t="shared" si="225"/>
        <v>0</v>
      </c>
      <c r="X544" s="223">
        <f t="shared" si="225"/>
        <v>0</v>
      </c>
      <c r="Y544" s="223">
        <f t="shared" si="225"/>
        <v>0</v>
      </c>
      <c r="Z544" s="223">
        <f t="shared" si="225"/>
        <v>0</v>
      </c>
      <c r="AA544" s="223">
        <f t="shared" si="225"/>
        <v>0</v>
      </c>
      <c r="AB544" s="223">
        <f t="shared" si="225"/>
        <v>0</v>
      </c>
      <c r="AC544" s="223">
        <f t="shared" si="225"/>
        <v>0</v>
      </c>
      <c r="AD544" s="223">
        <f t="shared" si="225"/>
        <v>0</v>
      </c>
      <c r="AE544" s="223">
        <f t="shared" si="225"/>
        <v>0</v>
      </c>
    </row>
    <row r="545" spans="1:31" x14ac:dyDescent="0.2">
      <c r="A545" s="227"/>
      <c r="B545" s="227"/>
      <c r="C545" s="228" t="s">
        <v>410</v>
      </c>
      <c r="D545" s="229" t="s">
        <v>411</v>
      </c>
      <c r="E545" s="948" t="s">
        <v>335</v>
      </c>
      <c r="F545" s="946">
        <v>0</v>
      </c>
      <c r="G545" s="232">
        <f t="shared" si="220"/>
        <v>0</v>
      </c>
      <c r="H545" s="230" t="s">
        <v>335</v>
      </c>
      <c r="I545" s="234">
        <f>K545</f>
        <v>0</v>
      </c>
      <c r="J545" s="936">
        <f t="shared" si="221"/>
        <v>0</v>
      </c>
      <c r="K545" s="241">
        <f>L545+S545+T545</f>
        <v>0</v>
      </c>
      <c r="L545" s="236">
        <f>SUM(M545:R545)</f>
        <v>0</v>
      </c>
      <c r="M545" s="236"/>
      <c r="N545" s="236"/>
      <c r="O545" s="236"/>
      <c r="P545" s="236"/>
      <c r="Q545" s="236"/>
      <c r="R545" s="236"/>
      <c r="S545" s="236"/>
      <c r="T545" s="236">
        <f>SUM(U545:AD545)</f>
        <v>0</v>
      </c>
      <c r="U545" s="236"/>
      <c r="V545" s="236"/>
      <c r="W545" s="236"/>
      <c r="X545" s="236"/>
      <c r="Y545" s="236"/>
      <c r="Z545" s="236"/>
      <c r="AA545" s="236"/>
      <c r="AB545" s="236"/>
      <c r="AC545" s="236"/>
      <c r="AD545" s="236"/>
      <c r="AE545" s="236"/>
    </row>
    <row r="546" spans="1:31" x14ac:dyDescent="0.2">
      <c r="A546" s="227"/>
      <c r="B546" s="227"/>
      <c r="C546" s="228" t="s">
        <v>413</v>
      </c>
      <c r="D546" s="229" t="s">
        <v>414</v>
      </c>
      <c r="E546" s="948" t="s">
        <v>897</v>
      </c>
      <c r="F546" s="946">
        <v>114828.92</v>
      </c>
      <c r="G546" s="232">
        <f t="shared" si="220"/>
        <v>0.71768074999999998</v>
      </c>
      <c r="H546" s="230" t="s">
        <v>897</v>
      </c>
      <c r="I546" s="234">
        <f t="shared" ref="I546:I549" si="226">K546</f>
        <v>300000</v>
      </c>
      <c r="J546" s="936">
        <f t="shared" si="221"/>
        <v>1.875</v>
      </c>
      <c r="K546" s="241">
        <f t="shared" ref="K546:K549" si="227">L546+S546+T546</f>
        <v>300000</v>
      </c>
      <c r="L546" s="236">
        <f>SUM(M546:R546)</f>
        <v>300000</v>
      </c>
      <c r="M546" s="236">
        <v>220000</v>
      </c>
      <c r="N546" s="236">
        <f>100000-20000</f>
        <v>80000</v>
      </c>
      <c r="O546" s="236"/>
      <c r="P546" s="236"/>
      <c r="Q546" s="236"/>
      <c r="R546" s="236"/>
      <c r="S546" s="236"/>
      <c r="T546" s="236">
        <f>SUM(U546:AD546)</f>
        <v>0</v>
      </c>
      <c r="U546" s="236"/>
      <c r="V546" s="236"/>
      <c r="W546" s="236"/>
      <c r="X546" s="236"/>
      <c r="Y546" s="236"/>
      <c r="Z546" s="236"/>
      <c r="AA546" s="236"/>
      <c r="AB546" s="236"/>
      <c r="AC546" s="236"/>
      <c r="AD546" s="236"/>
      <c r="AE546" s="236"/>
    </row>
    <row r="547" spans="1:31" x14ac:dyDescent="0.2">
      <c r="A547" s="227"/>
      <c r="B547" s="227"/>
      <c r="C547" s="228" t="s">
        <v>416</v>
      </c>
      <c r="D547" s="229" t="s">
        <v>900</v>
      </c>
      <c r="E547" s="948">
        <v>0</v>
      </c>
      <c r="F547" s="257">
        <v>0</v>
      </c>
      <c r="G547" s="232">
        <v>0</v>
      </c>
      <c r="H547" s="230">
        <v>0</v>
      </c>
      <c r="I547" s="234">
        <f>K547</f>
        <v>29000</v>
      </c>
      <c r="J547" s="936">
        <v>0</v>
      </c>
      <c r="K547" s="241">
        <f>L547+S547+T547</f>
        <v>29000</v>
      </c>
      <c r="L547" s="236">
        <f>SUM(M547:R547)</f>
        <v>29000</v>
      </c>
      <c r="M547" s="236"/>
      <c r="N547" s="236">
        <v>29000</v>
      </c>
      <c r="O547" s="236"/>
      <c r="P547" s="236"/>
      <c r="Q547" s="236"/>
      <c r="R547" s="236"/>
      <c r="S547" s="236"/>
      <c r="T547" s="236"/>
      <c r="U547" s="236"/>
      <c r="V547" s="236"/>
      <c r="W547" s="236"/>
      <c r="X547" s="236"/>
      <c r="Y547" s="236"/>
      <c r="Z547" s="236"/>
      <c r="AA547" s="236"/>
      <c r="AB547" s="236"/>
      <c r="AC547" s="236"/>
      <c r="AD547" s="236"/>
      <c r="AE547" s="236"/>
    </row>
    <row r="548" spans="1:31" x14ac:dyDescent="0.2">
      <c r="A548" s="227"/>
      <c r="B548" s="227"/>
      <c r="C548" s="228" t="s">
        <v>443</v>
      </c>
      <c r="D548" s="229" t="s">
        <v>444</v>
      </c>
      <c r="E548" s="948" t="s">
        <v>312</v>
      </c>
      <c r="F548" s="946">
        <v>0</v>
      </c>
      <c r="G548" s="232">
        <f t="shared" si="220"/>
        <v>0</v>
      </c>
      <c r="H548" s="230" t="s">
        <v>312</v>
      </c>
      <c r="I548" s="234">
        <f t="shared" si="226"/>
        <v>80000</v>
      </c>
      <c r="J548" s="936">
        <f t="shared" si="221"/>
        <v>0.41025641025641024</v>
      </c>
      <c r="K548" s="241">
        <f t="shared" si="227"/>
        <v>80000</v>
      </c>
      <c r="L548" s="236">
        <f>SUM(M548:R548)</f>
        <v>80000</v>
      </c>
      <c r="M548" s="236"/>
      <c r="N548" s="236">
        <v>80000</v>
      </c>
      <c r="O548" s="236"/>
      <c r="P548" s="236"/>
      <c r="Q548" s="236"/>
      <c r="R548" s="236"/>
      <c r="S548" s="236"/>
      <c r="T548" s="236">
        <f>SUM(U548:AD548)</f>
        <v>0</v>
      </c>
      <c r="U548" s="236"/>
      <c r="V548" s="236"/>
      <c r="W548" s="236"/>
      <c r="X548" s="236"/>
      <c r="Y548" s="236"/>
      <c r="Z548" s="236"/>
      <c r="AA548" s="236"/>
      <c r="AB548" s="236"/>
      <c r="AC548" s="236"/>
      <c r="AD548" s="236"/>
      <c r="AE548" s="236"/>
    </row>
    <row r="549" spans="1:31" ht="45" x14ac:dyDescent="0.2">
      <c r="A549" s="227"/>
      <c r="B549" s="227"/>
      <c r="C549" s="228" t="s">
        <v>588</v>
      </c>
      <c r="D549" s="229" t="s">
        <v>589</v>
      </c>
      <c r="E549" s="948" t="s">
        <v>901</v>
      </c>
      <c r="F549" s="946">
        <v>63304.12</v>
      </c>
      <c r="G549" s="232">
        <f t="shared" si="220"/>
        <v>0.95915333333333341</v>
      </c>
      <c r="H549" s="230">
        <v>63304.12</v>
      </c>
      <c r="I549" s="234">
        <f t="shared" si="226"/>
        <v>80000</v>
      </c>
      <c r="J549" s="936">
        <f t="shared" si="221"/>
        <v>1.2121212121212122</v>
      </c>
      <c r="K549" s="241">
        <f t="shared" si="227"/>
        <v>80000</v>
      </c>
      <c r="L549" s="236">
        <f>SUM(M549:R549)</f>
        <v>80000</v>
      </c>
      <c r="M549" s="236">
        <v>80000</v>
      </c>
      <c r="N549" s="236"/>
      <c r="O549" s="236"/>
      <c r="P549" s="236"/>
      <c r="Q549" s="236"/>
      <c r="R549" s="236"/>
      <c r="S549" s="236"/>
      <c r="T549" s="236">
        <f>SUM(U549:AD549)</f>
        <v>0</v>
      </c>
      <c r="U549" s="236"/>
      <c r="V549" s="236"/>
      <c r="W549" s="236"/>
      <c r="X549" s="236"/>
      <c r="Y549" s="236"/>
      <c r="Z549" s="236"/>
      <c r="AA549" s="236"/>
      <c r="AB549" s="236"/>
      <c r="AC549" s="236"/>
      <c r="AD549" s="236"/>
      <c r="AE549" s="236"/>
    </row>
    <row r="550" spans="1:31" ht="15" x14ac:dyDescent="0.2">
      <c r="A550" s="219"/>
      <c r="B550" s="220" t="s">
        <v>348</v>
      </c>
      <c r="C550" s="221"/>
      <c r="D550" s="222" t="s">
        <v>349</v>
      </c>
      <c r="E550" s="223">
        <f>E551+E552+E553+E554+E555+E556+E557+E558+E559+E560+E561</f>
        <v>2536828.4900000002</v>
      </c>
      <c r="F550" s="239">
        <f t="shared" ref="F550:AE550" si="228">F551+F552+F553+F554+F555+F556+F557+F558+F559+F560+F561</f>
        <v>1682026.88</v>
      </c>
      <c r="G550" s="238">
        <f t="shared" si="220"/>
        <v>0.66304320005488415</v>
      </c>
      <c r="H550" s="239">
        <f t="shared" si="228"/>
        <v>2495331.9</v>
      </c>
      <c r="I550" s="240">
        <f t="shared" si="228"/>
        <v>3248356.07</v>
      </c>
      <c r="J550" s="937">
        <f t="shared" si="221"/>
        <v>1.2804791820987471</v>
      </c>
      <c r="K550" s="925">
        <f t="shared" si="228"/>
        <v>3248356.07</v>
      </c>
      <c r="L550" s="258">
        <f t="shared" si="228"/>
        <v>3248356.07</v>
      </c>
      <c r="M550" s="258">
        <f t="shared" si="228"/>
        <v>3043039</v>
      </c>
      <c r="N550" s="258">
        <f t="shared" si="228"/>
        <v>0</v>
      </c>
      <c r="O550" s="258">
        <f t="shared" si="228"/>
        <v>0</v>
      </c>
      <c r="P550" s="258">
        <f t="shared" si="228"/>
        <v>205317.07</v>
      </c>
      <c r="Q550" s="258">
        <f t="shared" si="228"/>
        <v>0</v>
      </c>
      <c r="R550" s="259">
        <f>R551+R552+R553+R554+R555+R556+R557+R558+R559+R560+R561</f>
        <v>0</v>
      </c>
      <c r="S550" s="258">
        <f t="shared" si="228"/>
        <v>0</v>
      </c>
      <c r="T550" s="258">
        <f t="shared" si="228"/>
        <v>0</v>
      </c>
      <c r="U550" s="258">
        <f t="shared" si="228"/>
        <v>0</v>
      </c>
      <c r="V550" s="258">
        <f t="shared" si="228"/>
        <v>0</v>
      </c>
      <c r="W550" s="258">
        <f t="shared" si="228"/>
        <v>0</v>
      </c>
      <c r="X550" s="258">
        <f t="shared" si="228"/>
        <v>0</v>
      </c>
      <c r="Y550" s="258">
        <f t="shared" si="228"/>
        <v>0</v>
      </c>
      <c r="Z550" s="258">
        <f t="shared" si="228"/>
        <v>0</v>
      </c>
      <c r="AA550" s="258">
        <f t="shared" si="228"/>
        <v>0</v>
      </c>
      <c r="AB550" s="258">
        <f t="shared" si="228"/>
        <v>0</v>
      </c>
      <c r="AC550" s="258">
        <f t="shared" si="228"/>
        <v>0</v>
      </c>
      <c r="AD550" s="258">
        <f t="shared" si="228"/>
        <v>0</v>
      </c>
      <c r="AE550" s="258">
        <f t="shared" si="228"/>
        <v>0</v>
      </c>
    </row>
    <row r="551" spans="1:31" ht="33.75" x14ac:dyDescent="0.2">
      <c r="A551" s="227"/>
      <c r="B551" s="227"/>
      <c r="C551" s="228" t="s">
        <v>679</v>
      </c>
      <c r="D551" s="229" t="s">
        <v>680</v>
      </c>
      <c r="E551" s="230" t="s">
        <v>174</v>
      </c>
      <c r="F551" s="231">
        <v>30000</v>
      </c>
      <c r="G551" s="232">
        <f t="shared" si="220"/>
        <v>1</v>
      </c>
      <c r="H551" s="233">
        <v>30000</v>
      </c>
      <c r="I551" s="234">
        <f>K551</f>
        <v>0</v>
      </c>
      <c r="J551" s="936">
        <f t="shared" si="221"/>
        <v>0</v>
      </c>
      <c r="K551" s="241">
        <f>L551+S551+T551</f>
        <v>0</v>
      </c>
      <c r="L551" s="236">
        <f>SUM(M551:R551)</f>
        <v>0</v>
      </c>
      <c r="M551" s="236"/>
      <c r="N551" s="245"/>
      <c r="O551" s="245"/>
      <c r="P551" s="236"/>
      <c r="Q551" s="245"/>
      <c r="R551" s="245"/>
      <c r="S551" s="245"/>
      <c r="T551" s="236">
        <f>SUM(U551:AD551)</f>
        <v>0</v>
      </c>
      <c r="U551" s="245"/>
      <c r="V551" s="245"/>
      <c r="W551" s="245"/>
      <c r="X551" s="245"/>
      <c r="Y551" s="245"/>
      <c r="Z551" s="245"/>
      <c r="AA551" s="245"/>
      <c r="AB551" s="245"/>
      <c r="AC551" s="245"/>
      <c r="AD551" s="245"/>
      <c r="AE551" s="245"/>
    </row>
    <row r="552" spans="1:31" x14ac:dyDescent="0.2">
      <c r="A552" s="227"/>
      <c r="B552" s="227"/>
      <c r="C552" s="228" t="s">
        <v>401</v>
      </c>
      <c r="D552" s="229" t="s">
        <v>402</v>
      </c>
      <c r="E552" s="230" t="s">
        <v>902</v>
      </c>
      <c r="F552" s="231">
        <v>108758.54</v>
      </c>
      <c r="G552" s="232">
        <f t="shared" si="220"/>
        <v>0.68237865232924444</v>
      </c>
      <c r="H552" s="230">
        <v>141169.01999999999</v>
      </c>
      <c r="I552" s="234">
        <f t="shared" ref="I552:I561" si="229">K552</f>
        <v>159515.04</v>
      </c>
      <c r="J552" s="936">
        <f t="shared" si="221"/>
        <v>1.0008378010724079</v>
      </c>
      <c r="K552" s="241">
        <f t="shared" ref="K552:K561" si="230">L552+S552+T552</f>
        <v>159515.04</v>
      </c>
      <c r="L552" s="236">
        <f t="shared" ref="L552:L561" si="231">SUM(M552:R552)</f>
        <v>159515.04</v>
      </c>
      <c r="M552" s="236"/>
      <c r="N552" s="245"/>
      <c r="O552" s="245"/>
      <c r="P552" s="236">
        <v>159515.04</v>
      </c>
      <c r="Q552" s="245"/>
      <c r="R552" s="245"/>
      <c r="S552" s="245"/>
      <c r="T552" s="236">
        <f t="shared" ref="T552:T561" si="232">SUM(U552:AD552)</f>
        <v>0</v>
      </c>
      <c r="U552" s="245"/>
      <c r="V552" s="245"/>
      <c r="W552" s="245"/>
      <c r="X552" s="245"/>
      <c r="Y552" s="245"/>
      <c r="Z552" s="245"/>
      <c r="AA552" s="245"/>
      <c r="AB552" s="245"/>
      <c r="AC552" s="245"/>
      <c r="AD552" s="245"/>
      <c r="AE552" s="245"/>
    </row>
    <row r="553" spans="1:31" x14ac:dyDescent="0.2">
      <c r="A553" s="227"/>
      <c r="B553" s="227"/>
      <c r="C553" s="228" t="s">
        <v>495</v>
      </c>
      <c r="D553" s="229" t="s">
        <v>496</v>
      </c>
      <c r="E553" s="230" t="s">
        <v>903</v>
      </c>
      <c r="F553" s="231">
        <v>9391.34</v>
      </c>
      <c r="G553" s="232">
        <f t="shared" si="220"/>
        <v>1</v>
      </c>
      <c r="H553" s="230" t="s">
        <v>903</v>
      </c>
      <c r="I553" s="234">
        <f t="shared" si="229"/>
        <v>11825.19</v>
      </c>
      <c r="J553" s="936">
        <f t="shared" si="221"/>
        <v>1.2591589698594663</v>
      </c>
      <c r="K553" s="241">
        <f t="shared" si="230"/>
        <v>11825.19</v>
      </c>
      <c r="L553" s="236">
        <f t="shared" si="231"/>
        <v>11825.19</v>
      </c>
      <c r="M553" s="236"/>
      <c r="N553" s="245"/>
      <c r="O553" s="245"/>
      <c r="P553" s="236">
        <v>11825.19</v>
      </c>
      <c r="Q553" s="245"/>
      <c r="R553" s="245"/>
      <c r="S553" s="245"/>
      <c r="T553" s="236">
        <f t="shared" si="232"/>
        <v>0</v>
      </c>
      <c r="U553" s="245"/>
      <c r="V553" s="245"/>
      <c r="W553" s="245"/>
      <c r="X553" s="245"/>
      <c r="Y553" s="245"/>
      <c r="Z553" s="245"/>
      <c r="AA553" s="245"/>
      <c r="AB553" s="245"/>
      <c r="AC553" s="245"/>
      <c r="AD553" s="245"/>
      <c r="AE553" s="245"/>
    </row>
    <row r="554" spans="1:31" x14ac:dyDescent="0.2">
      <c r="A554" s="227"/>
      <c r="B554" s="227"/>
      <c r="C554" s="228" t="s">
        <v>404</v>
      </c>
      <c r="D554" s="229" t="s">
        <v>405</v>
      </c>
      <c r="E554" s="230" t="s">
        <v>904</v>
      </c>
      <c r="F554" s="231">
        <v>19295.53</v>
      </c>
      <c r="G554" s="232">
        <f t="shared" si="220"/>
        <v>0.75364685535377263</v>
      </c>
      <c r="H554" s="230">
        <v>24668.01</v>
      </c>
      <c r="I554" s="234">
        <f t="shared" si="229"/>
        <v>26525.29</v>
      </c>
      <c r="J554" s="936">
        <f t="shared" si="221"/>
        <v>1.0360275875214038</v>
      </c>
      <c r="K554" s="241">
        <f t="shared" si="230"/>
        <v>26525.29</v>
      </c>
      <c r="L554" s="236">
        <f t="shared" si="231"/>
        <v>26525.29</v>
      </c>
      <c r="M554" s="236"/>
      <c r="N554" s="245"/>
      <c r="O554" s="245"/>
      <c r="P554" s="236">
        <v>26525.29</v>
      </c>
      <c r="Q554" s="245"/>
      <c r="R554" s="245"/>
      <c r="S554" s="245"/>
      <c r="T554" s="236">
        <f t="shared" si="232"/>
        <v>0</v>
      </c>
      <c r="U554" s="245"/>
      <c r="V554" s="245"/>
      <c r="W554" s="245"/>
      <c r="X554" s="245"/>
      <c r="Y554" s="245"/>
      <c r="Z554" s="245"/>
      <c r="AA554" s="245"/>
      <c r="AB554" s="245"/>
      <c r="AC554" s="245"/>
      <c r="AD554" s="245"/>
      <c r="AE554" s="245"/>
    </row>
    <row r="555" spans="1:31" x14ac:dyDescent="0.2">
      <c r="A555" s="227"/>
      <c r="B555" s="227"/>
      <c r="C555" s="228" t="s">
        <v>407</v>
      </c>
      <c r="D555" s="229" t="s">
        <v>408</v>
      </c>
      <c r="E555" s="230" t="s">
        <v>905</v>
      </c>
      <c r="F555" s="231">
        <v>2126.7600000000002</v>
      </c>
      <c r="G555" s="232">
        <f t="shared" si="220"/>
        <v>0.73550100637021987</v>
      </c>
      <c r="H555" s="230">
        <v>2752.19</v>
      </c>
      <c r="I555" s="234">
        <f t="shared" si="229"/>
        <v>3005.55</v>
      </c>
      <c r="J555" s="936">
        <f t="shared" si="221"/>
        <v>1.0394144377814207</v>
      </c>
      <c r="K555" s="241">
        <f t="shared" si="230"/>
        <v>3005.55</v>
      </c>
      <c r="L555" s="236">
        <f t="shared" si="231"/>
        <v>3005.55</v>
      </c>
      <c r="M555" s="236"/>
      <c r="N555" s="245"/>
      <c r="O555" s="245"/>
      <c r="P555" s="236">
        <v>3005.55</v>
      </c>
      <c r="Q555" s="245"/>
      <c r="R555" s="245"/>
      <c r="S555" s="245"/>
      <c r="T555" s="236">
        <f t="shared" si="232"/>
        <v>0</v>
      </c>
      <c r="U555" s="245"/>
      <c r="V555" s="245"/>
      <c r="W555" s="245"/>
      <c r="X555" s="245"/>
      <c r="Y555" s="245"/>
      <c r="Z555" s="245"/>
      <c r="AA555" s="245"/>
      <c r="AB555" s="245"/>
      <c r="AC555" s="245"/>
      <c r="AD555" s="245"/>
      <c r="AE555" s="245"/>
    </row>
    <row r="556" spans="1:31" x14ac:dyDescent="0.2">
      <c r="A556" s="227"/>
      <c r="B556" s="227"/>
      <c r="C556" s="228" t="s">
        <v>420</v>
      </c>
      <c r="D556" s="229" t="s">
        <v>421</v>
      </c>
      <c r="E556" s="230" t="s">
        <v>690</v>
      </c>
      <c r="F556" s="231">
        <v>2497.5</v>
      </c>
      <c r="G556" s="232">
        <f t="shared" si="220"/>
        <v>0.999</v>
      </c>
      <c r="H556" s="230">
        <v>2497.5</v>
      </c>
      <c r="I556" s="234">
        <f t="shared" si="229"/>
        <v>0</v>
      </c>
      <c r="J556" s="936">
        <f t="shared" si="221"/>
        <v>0</v>
      </c>
      <c r="K556" s="241">
        <f t="shared" si="230"/>
        <v>0</v>
      </c>
      <c r="L556" s="236">
        <f t="shared" si="231"/>
        <v>0</v>
      </c>
      <c r="M556" s="236"/>
      <c r="N556" s="245"/>
      <c r="O556" s="245"/>
      <c r="P556" s="236"/>
      <c r="Q556" s="245"/>
      <c r="R556" s="245"/>
      <c r="S556" s="245"/>
      <c r="T556" s="236">
        <f t="shared" si="232"/>
        <v>0</v>
      </c>
      <c r="U556" s="245"/>
      <c r="V556" s="245"/>
      <c r="W556" s="245"/>
      <c r="X556" s="245"/>
      <c r="Y556" s="245"/>
      <c r="Z556" s="245"/>
      <c r="AA556" s="245"/>
      <c r="AB556" s="245"/>
      <c r="AC556" s="245"/>
      <c r="AD556" s="245"/>
      <c r="AE556" s="245"/>
    </row>
    <row r="557" spans="1:31" x14ac:dyDescent="0.2">
      <c r="A557" s="227"/>
      <c r="B557" s="227"/>
      <c r="C557" s="228" t="s">
        <v>410</v>
      </c>
      <c r="D557" s="229" t="s">
        <v>411</v>
      </c>
      <c r="E557" s="230" t="s">
        <v>906</v>
      </c>
      <c r="F557" s="231">
        <v>4623.83</v>
      </c>
      <c r="G557" s="232">
        <f t="shared" si="220"/>
        <v>0.15944241379310345</v>
      </c>
      <c r="H557" s="233">
        <v>29000</v>
      </c>
      <c r="I557" s="234">
        <f t="shared" si="229"/>
        <v>12000</v>
      </c>
      <c r="J557" s="936">
        <f t="shared" si="221"/>
        <v>0.41379310344827586</v>
      </c>
      <c r="K557" s="241">
        <f t="shared" si="230"/>
        <v>12000</v>
      </c>
      <c r="L557" s="236">
        <f t="shared" si="231"/>
        <v>12000</v>
      </c>
      <c r="M557" s="236">
        <v>12000</v>
      </c>
      <c r="N557" s="245"/>
      <c r="O557" s="245"/>
      <c r="P557" s="236"/>
      <c r="Q557" s="245"/>
      <c r="R557" s="245"/>
      <c r="S557" s="245"/>
      <c r="T557" s="236">
        <f t="shared" si="232"/>
        <v>0</v>
      </c>
      <c r="U557" s="245"/>
      <c r="V557" s="245"/>
      <c r="W557" s="245"/>
      <c r="X557" s="245"/>
      <c r="Y557" s="245"/>
      <c r="Z557" s="245"/>
      <c r="AA557" s="245"/>
      <c r="AB557" s="245"/>
      <c r="AC557" s="245"/>
      <c r="AD557" s="245"/>
      <c r="AE557" s="245"/>
    </row>
    <row r="558" spans="1:31" x14ac:dyDescent="0.2">
      <c r="A558" s="227"/>
      <c r="B558" s="227"/>
      <c r="C558" s="228" t="s">
        <v>413</v>
      </c>
      <c r="D558" s="229" t="s">
        <v>414</v>
      </c>
      <c r="E558" s="230" t="s">
        <v>907</v>
      </c>
      <c r="F558" s="231">
        <v>1499577.38</v>
      </c>
      <c r="G558" s="232">
        <f t="shared" si="220"/>
        <v>0.66045484743954352</v>
      </c>
      <c r="H558" s="233">
        <v>2249380.84</v>
      </c>
      <c r="I558" s="234">
        <f t="shared" si="229"/>
        <v>3028539</v>
      </c>
      <c r="J558" s="936">
        <f t="shared" si="221"/>
        <v>1.3338513169688568</v>
      </c>
      <c r="K558" s="241">
        <f t="shared" si="230"/>
        <v>3028539</v>
      </c>
      <c r="L558" s="236">
        <f t="shared" si="231"/>
        <v>3028539</v>
      </c>
      <c r="M558" s="236">
        <f>3023500+5039</f>
        <v>3028539</v>
      </c>
      <c r="N558" s="245"/>
      <c r="O558" s="245"/>
      <c r="P558" s="236"/>
      <c r="Q558" s="245"/>
      <c r="R558" s="245"/>
      <c r="S558" s="245"/>
      <c r="T558" s="236">
        <f t="shared" si="232"/>
        <v>0</v>
      </c>
      <c r="U558" s="245"/>
      <c r="V558" s="245"/>
      <c r="W558" s="245"/>
      <c r="X558" s="245"/>
      <c r="Y558" s="245"/>
      <c r="Z558" s="245"/>
      <c r="AA558" s="245"/>
      <c r="AB558" s="245"/>
      <c r="AC558" s="245"/>
      <c r="AD558" s="245"/>
      <c r="AE558" s="245"/>
    </row>
    <row r="559" spans="1:31" x14ac:dyDescent="0.2">
      <c r="A559" s="227"/>
      <c r="B559" s="227"/>
      <c r="C559" s="228" t="s">
        <v>533</v>
      </c>
      <c r="D559" s="229" t="s">
        <v>534</v>
      </c>
      <c r="E559" s="230" t="s">
        <v>453</v>
      </c>
      <c r="F559" s="231">
        <v>0</v>
      </c>
      <c r="G559" s="232">
        <f t="shared" si="220"/>
        <v>0</v>
      </c>
      <c r="H559" s="233">
        <v>0</v>
      </c>
      <c r="I559" s="234">
        <f t="shared" si="229"/>
        <v>500</v>
      </c>
      <c r="J559" s="936">
        <f t="shared" si="221"/>
        <v>1</v>
      </c>
      <c r="K559" s="241">
        <f t="shared" si="230"/>
        <v>500</v>
      </c>
      <c r="L559" s="236">
        <f t="shared" si="231"/>
        <v>500</v>
      </c>
      <c r="M559" s="236">
        <v>500</v>
      </c>
      <c r="N559" s="245"/>
      <c r="O559" s="245"/>
      <c r="P559" s="236"/>
      <c r="Q559" s="245"/>
      <c r="R559" s="245"/>
      <c r="S559" s="245"/>
      <c r="T559" s="236">
        <f t="shared" si="232"/>
        <v>0</v>
      </c>
      <c r="U559" s="245"/>
      <c r="V559" s="245"/>
      <c r="W559" s="245"/>
      <c r="X559" s="245"/>
      <c r="Y559" s="245"/>
      <c r="Z559" s="245"/>
      <c r="AA559" s="245"/>
      <c r="AB559" s="245"/>
      <c r="AC559" s="245"/>
      <c r="AD559" s="245"/>
      <c r="AE559" s="245"/>
    </row>
    <row r="560" spans="1:31" x14ac:dyDescent="0.2">
      <c r="A560" s="227"/>
      <c r="B560" s="227"/>
      <c r="C560" s="228" t="s">
        <v>537</v>
      </c>
      <c r="D560" s="229" t="s">
        <v>538</v>
      </c>
      <c r="E560" s="230" t="s">
        <v>908</v>
      </c>
      <c r="F560" s="231">
        <v>5039</v>
      </c>
      <c r="G560" s="232">
        <f t="shared" si="220"/>
        <v>1</v>
      </c>
      <c r="H560" s="233">
        <v>5039</v>
      </c>
      <c r="I560" s="234">
        <f t="shared" si="229"/>
        <v>4446</v>
      </c>
      <c r="J560" s="936">
        <f t="shared" si="221"/>
        <v>0.88231792022226629</v>
      </c>
      <c r="K560" s="241">
        <f t="shared" si="230"/>
        <v>4446</v>
      </c>
      <c r="L560" s="236">
        <f t="shared" si="231"/>
        <v>4446</v>
      </c>
      <c r="M560" s="236"/>
      <c r="N560" s="245"/>
      <c r="O560" s="245"/>
      <c r="P560" s="236">
        <v>4446</v>
      </c>
      <c r="Q560" s="245"/>
      <c r="R560" s="245"/>
      <c r="S560" s="245"/>
      <c r="T560" s="236">
        <f t="shared" si="232"/>
        <v>0</v>
      </c>
      <c r="U560" s="245"/>
      <c r="V560" s="245"/>
      <c r="W560" s="245"/>
      <c r="X560" s="245"/>
      <c r="Y560" s="245"/>
      <c r="Z560" s="245"/>
      <c r="AA560" s="245"/>
      <c r="AB560" s="245"/>
      <c r="AC560" s="245"/>
      <c r="AD560" s="245"/>
      <c r="AE560" s="245"/>
    </row>
    <row r="561" spans="1:31" ht="22.5" x14ac:dyDescent="0.2">
      <c r="A561" s="227"/>
      <c r="B561" s="227"/>
      <c r="C561" s="228" t="s">
        <v>540</v>
      </c>
      <c r="D561" s="229" t="s">
        <v>541</v>
      </c>
      <c r="E561" s="230" t="s">
        <v>95</v>
      </c>
      <c r="F561" s="231">
        <v>717</v>
      </c>
      <c r="G561" s="232">
        <f t="shared" si="220"/>
        <v>0.35849999999999999</v>
      </c>
      <c r="H561" s="233">
        <v>1434</v>
      </c>
      <c r="I561" s="234">
        <f t="shared" si="229"/>
        <v>2000</v>
      </c>
      <c r="J561" s="936">
        <f t="shared" si="221"/>
        <v>1</v>
      </c>
      <c r="K561" s="241">
        <f t="shared" si="230"/>
        <v>2000</v>
      </c>
      <c r="L561" s="236">
        <f t="shared" si="231"/>
        <v>2000</v>
      </c>
      <c r="M561" s="236">
        <v>2000</v>
      </c>
      <c r="N561" s="245"/>
      <c r="O561" s="245"/>
      <c r="P561" s="236"/>
      <c r="Q561" s="245"/>
      <c r="R561" s="245"/>
      <c r="S561" s="245"/>
      <c r="T561" s="236">
        <f t="shared" si="232"/>
        <v>0</v>
      </c>
      <c r="U561" s="245"/>
      <c r="V561" s="245"/>
      <c r="W561" s="245"/>
      <c r="X561" s="245"/>
      <c r="Y561" s="245"/>
      <c r="Z561" s="245"/>
      <c r="AA561" s="245"/>
      <c r="AB561" s="245"/>
      <c r="AC561" s="245"/>
      <c r="AD561" s="245"/>
      <c r="AE561" s="245"/>
    </row>
    <row r="562" spans="1:31" ht="15" x14ac:dyDescent="0.2">
      <c r="A562" s="219"/>
      <c r="B562" s="220" t="s">
        <v>909</v>
      </c>
      <c r="C562" s="221"/>
      <c r="D562" s="222" t="s">
        <v>910</v>
      </c>
      <c r="E562" s="223" t="str">
        <f>E563</f>
        <v>400 000,00</v>
      </c>
      <c r="F562" s="239">
        <f t="shared" ref="F562:AE562" si="233">F563</f>
        <v>198212.13</v>
      </c>
      <c r="G562" s="238">
        <f t="shared" si="220"/>
        <v>0.49553032499999999</v>
      </c>
      <c r="H562" s="239">
        <f t="shared" si="233"/>
        <v>351228.43</v>
      </c>
      <c r="I562" s="240">
        <f t="shared" si="233"/>
        <v>466000</v>
      </c>
      <c r="J562" s="937">
        <f t="shared" si="221"/>
        <v>1.165</v>
      </c>
      <c r="K562" s="925">
        <f t="shared" si="233"/>
        <v>466000</v>
      </c>
      <c r="L562" s="223">
        <f t="shared" si="233"/>
        <v>466000</v>
      </c>
      <c r="M562" s="223">
        <f t="shared" si="233"/>
        <v>0</v>
      </c>
      <c r="N562" s="223">
        <f t="shared" si="233"/>
        <v>466000</v>
      </c>
      <c r="O562" s="223">
        <f t="shared" si="233"/>
        <v>0</v>
      </c>
      <c r="P562" s="223">
        <f t="shared" si="233"/>
        <v>0</v>
      </c>
      <c r="Q562" s="223">
        <f t="shared" si="233"/>
        <v>0</v>
      </c>
      <c r="R562" s="226">
        <f>R563</f>
        <v>0</v>
      </c>
      <c r="S562" s="223">
        <f t="shared" si="233"/>
        <v>0</v>
      </c>
      <c r="T562" s="223">
        <f t="shared" si="233"/>
        <v>0</v>
      </c>
      <c r="U562" s="223">
        <f t="shared" si="233"/>
        <v>0</v>
      </c>
      <c r="V562" s="223">
        <f t="shared" si="233"/>
        <v>0</v>
      </c>
      <c r="W562" s="223">
        <f t="shared" si="233"/>
        <v>0</v>
      </c>
      <c r="X562" s="223">
        <f t="shared" si="233"/>
        <v>0</v>
      </c>
      <c r="Y562" s="223">
        <f t="shared" si="233"/>
        <v>0</v>
      </c>
      <c r="Z562" s="223">
        <f t="shared" si="233"/>
        <v>0</v>
      </c>
      <c r="AA562" s="223">
        <f t="shared" si="233"/>
        <v>0</v>
      </c>
      <c r="AB562" s="223">
        <f t="shared" si="233"/>
        <v>0</v>
      </c>
      <c r="AC562" s="223">
        <f t="shared" si="233"/>
        <v>0</v>
      </c>
      <c r="AD562" s="223">
        <f t="shared" si="233"/>
        <v>0</v>
      </c>
      <c r="AE562" s="223">
        <f t="shared" si="233"/>
        <v>0</v>
      </c>
    </row>
    <row r="563" spans="1:31" x14ac:dyDescent="0.2">
      <c r="A563" s="227"/>
      <c r="B563" s="227"/>
      <c r="C563" s="228" t="s">
        <v>413</v>
      </c>
      <c r="D563" s="229" t="s">
        <v>414</v>
      </c>
      <c r="E563" s="230" t="s">
        <v>911</v>
      </c>
      <c r="F563" s="231">
        <v>198212.13</v>
      </c>
      <c r="G563" s="232">
        <f t="shared" si="220"/>
        <v>0.49553032499999999</v>
      </c>
      <c r="H563" s="233">
        <v>351228.43</v>
      </c>
      <c r="I563" s="234">
        <f>K563</f>
        <v>466000</v>
      </c>
      <c r="J563" s="936">
        <f t="shared" si="221"/>
        <v>1.165</v>
      </c>
      <c r="K563" s="241">
        <f>L563+S563+T563</f>
        <v>466000</v>
      </c>
      <c r="L563" s="236">
        <f>SUM(M563:R563)</f>
        <v>466000</v>
      </c>
      <c r="M563" s="245"/>
      <c r="N563" s="236">
        <v>466000</v>
      </c>
      <c r="O563" s="245"/>
      <c r="P563" s="245"/>
      <c r="Q563" s="245"/>
      <c r="R563" s="245"/>
      <c r="S563" s="245"/>
      <c r="T563" s="236">
        <f>SUM(U563:AD563)</f>
        <v>0</v>
      </c>
      <c r="U563" s="245"/>
      <c r="V563" s="245"/>
      <c r="W563" s="245"/>
      <c r="X563" s="245"/>
      <c r="Y563" s="245"/>
      <c r="Z563" s="245"/>
      <c r="AA563" s="245"/>
      <c r="AB563" s="245"/>
      <c r="AC563" s="245"/>
      <c r="AD563" s="245"/>
      <c r="AE563" s="245"/>
    </row>
    <row r="564" spans="1:31" ht="15" x14ac:dyDescent="0.2">
      <c r="A564" s="219"/>
      <c r="B564" s="220" t="s">
        <v>912</v>
      </c>
      <c r="C564" s="221"/>
      <c r="D564" s="222" t="s">
        <v>913</v>
      </c>
      <c r="E564" s="223">
        <f>E565+E566+E567+E568</f>
        <v>235391.93</v>
      </c>
      <c r="F564" s="239">
        <f t="shared" ref="F564:AE564" si="234">F565+F566+F567+F568</f>
        <v>100282.38</v>
      </c>
      <c r="G564" s="238">
        <f t="shared" si="220"/>
        <v>0.42602301616712179</v>
      </c>
      <c r="H564" s="239">
        <f t="shared" si="234"/>
        <v>206782.17</v>
      </c>
      <c r="I564" s="240">
        <f t="shared" si="234"/>
        <v>392400</v>
      </c>
      <c r="J564" s="937">
        <f t="shared" si="221"/>
        <v>1.667007021013847</v>
      </c>
      <c r="K564" s="925">
        <f t="shared" si="234"/>
        <v>392400</v>
      </c>
      <c r="L564" s="223">
        <f t="shared" si="234"/>
        <v>392400</v>
      </c>
      <c r="M564" s="223">
        <f t="shared" si="234"/>
        <v>100000</v>
      </c>
      <c r="N564" s="223">
        <f t="shared" si="234"/>
        <v>253000</v>
      </c>
      <c r="O564" s="223">
        <f t="shared" si="234"/>
        <v>0</v>
      </c>
      <c r="P564" s="223">
        <f t="shared" si="234"/>
        <v>0</v>
      </c>
      <c r="Q564" s="223">
        <f t="shared" si="234"/>
        <v>0</v>
      </c>
      <c r="R564" s="226">
        <f>R565+R566+R567+R568</f>
        <v>39400</v>
      </c>
      <c r="S564" s="223">
        <f t="shared" si="234"/>
        <v>0</v>
      </c>
      <c r="T564" s="223">
        <f t="shared" si="234"/>
        <v>0</v>
      </c>
      <c r="U564" s="223">
        <f t="shared" si="234"/>
        <v>0</v>
      </c>
      <c r="V564" s="223">
        <f t="shared" si="234"/>
        <v>0</v>
      </c>
      <c r="W564" s="223">
        <f t="shared" si="234"/>
        <v>0</v>
      </c>
      <c r="X564" s="223">
        <f t="shared" si="234"/>
        <v>0</v>
      </c>
      <c r="Y564" s="223">
        <f t="shared" si="234"/>
        <v>0</v>
      </c>
      <c r="Z564" s="223">
        <f t="shared" si="234"/>
        <v>0</v>
      </c>
      <c r="AA564" s="223">
        <f t="shared" si="234"/>
        <v>0</v>
      </c>
      <c r="AB564" s="223">
        <f t="shared" si="234"/>
        <v>0</v>
      </c>
      <c r="AC564" s="223">
        <f t="shared" si="234"/>
        <v>0</v>
      </c>
      <c r="AD564" s="223">
        <f t="shared" si="234"/>
        <v>0</v>
      </c>
      <c r="AE564" s="223">
        <f t="shared" si="234"/>
        <v>0</v>
      </c>
    </row>
    <row r="565" spans="1:31" x14ac:dyDescent="0.2">
      <c r="A565" s="227"/>
      <c r="B565" s="227"/>
      <c r="C565" s="228" t="s">
        <v>420</v>
      </c>
      <c r="D565" s="229" t="s">
        <v>421</v>
      </c>
      <c r="E565" s="230" t="s">
        <v>690</v>
      </c>
      <c r="F565" s="231">
        <v>2401.75</v>
      </c>
      <c r="G565" s="232">
        <f t="shared" si="220"/>
        <v>0.9607</v>
      </c>
      <c r="H565" s="233">
        <v>2500</v>
      </c>
      <c r="I565" s="234">
        <f>K565</f>
        <v>5000</v>
      </c>
      <c r="J565" s="936">
        <f t="shared" si="221"/>
        <v>2</v>
      </c>
      <c r="K565" s="241">
        <f>L565+S565+T565</f>
        <v>5000</v>
      </c>
      <c r="L565" s="236">
        <f>SUM(M565:R565)</f>
        <v>5000</v>
      </c>
      <c r="M565" s="236"/>
      <c r="N565" s="245"/>
      <c r="O565" s="245"/>
      <c r="P565" s="245"/>
      <c r="Q565" s="245"/>
      <c r="R565" s="236">
        <v>5000</v>
      </c>
      <c r="S565" s="245"/>
      <c r="T565" s="236">
        <f>SUM(U565:AD565)</f>
        <v>0</v>
      </c>
      <c r="U565" s="245"/>
      <c r="V565" s="245"/>
      <c r="W565" s="245"/>
      <c r="X565" s="245"/>
      <c r="Y565" s="245"/>
      <c r="Z565" s="245"/>
      <c r="AA565" s="245"/>
      <c r="AB565" s="245"/>
      <c r="AC565" s="245"/>
      <c r="AD565" s="245"/>
      <c r="AE565" s="245"/>
    </row>
    <row r="566" spans="1:31" x14ac:dyDescent="0.2">
      <c r="A566" s="227"/>
      <c r="B566" s="227"/>
      <c r="C566" s="228" t="s">
        <v>410</v>
      </c>
      <c r="D566" s="229" t="s">
        <v>411</v>
      </c>
      <c r="E566" s="230" t="s">
        <v>914</v>
      </c>
      <c r="F566" s="231">
        <v>11879.51</v>
      </c>
      <c r="G566" s="232">
        <f t="shared" si="220"/>
        <v>0.19895367487451418</v>
      </c>
      <c r="H566" s="233">
        <v>59709.93</v>
      </c>
      <c r="I566" s="234">
        <f t="shared" ref="I566:I568" si="235">K566</f>
        <v>86600</v>
      </c>
      <c r="J566" s="936">
        <f t="shared" si="221"/>
        <v>1.4503450263632867</v>
      </c>
      <c r="K566" s="241">
        <f t="shared" ref="K566:K568" si="236">L566+S566+T566</f>
        <v>86600</v>
      </c>
      <c r="L566" s="236">
        <f>SUM(M566:R566)</f>
        <v>86600</v>
      </c>
      <c r="M566" s="236">
        <v>40000</v>
      </c>
      <c r="N566" s="236">
        <v>18000</v>
      </c>
      <c r="O566" s="245"/>
      <c r="P566" s="245"/>
      <c r="Q566" s="245"/>
      <c r="R566" s="236">
        <v>28600</v>
      </c>
      <c r="S566" s="245"/>
      <c r="T566" s="236">
        <f>SUM(U566:AD566)</f>
        <v>0</v>
      </c>
      <c r="U566" s="245"/>
      <c r="V566" s="245"/>
      <c r="W566" s="245"/>
      <c r="X566" s="245"/>
      <c r="Y566" s="245"/>
      <c r="Z566" s="245"/>
      <c r="AA566" s="245"/>
      <c r="AB566" s="245"/>
      <c r="AC566" s="245"/>
      <c r="AD566" s="245"/>
      <c r="AE566" s="245"/>
    </row>
    <row r="567" spans="1:31" x14ac:dyDescent="0.2">
      <c r="A567" s="227"/>
      <c r="B567" s="227"/>
      <c r="C567" s="228" t="s">
        <v>424</v>
      </c>
      <c r="D567" s="229" t="s">
        <v>425</v>
      </c>
      <c r="E567" s="230" t="s">
        <v>557</v>
      </c>
      <c r="F567" s="231">
        <v>52.9</v>
      </c>
      <c r="G567" s="232">
        <f t="shared" si="220"/>
        <v>1.7633333333333334E-2</v>
      </c>
      <c r="H567" s="233">
        <v>158.69999999999999</v>
      </c>
      <c r="I567" s="234">
        <f t="shared" si="235"/>
        <v>5000</v>
      </c>
      <c r="J567" s="936">
        <f t="shared" si="221"/>
        <v>1.6666666666666667</v>
      </c>
      <c r="K567" s="241">
        <f t="shared" si="236"/>
        <v>5000</v>
      </c>
      <c r="L567" s="236">
        <f>SUM(M567:R567)</f>
        <v>5000</v>
      </c>
      <c r="M567" s="236"/>
      <c r="N567" s="236">
        <v>5000</v>
      </c>
      <c r="O567" s="245"/>
      <c r="P567" s="245"/>
      <c r="Q567" s="245"/>
      <c r="R567" s="236"/>
      <c r="S567" s="245"/>
      <c r="T567" s="236">
        <f>SUM(U567:AD567)</f>
        <v>0</v>
      </c>
      <c r="U567" s="245"/>
      <c r="V567" s="245"/>
      <c r="W567" s="245"/>
      <c r="X567" s="245"/>
      <c r="Y567" s="245"/>
      <c r="Z567" s="245"/>
      <c r="AA567" s="245"/>
      <c r="AB567" s="245"/>
      <c r="AC567" s="245"/>
      <c r="AD567" s="245"/>
      <c r="AE567" s="245"/>
    </row>
    <row r="568" spans="1:31" x14ac:dyDescent="0.2">
      <c r="A568" s="227"/>
      <c r="B568" s="227"/>
      <c r="C568" s="228" t="s">
        <v>413</v>
      </c>
      <c r="D568" s="229" t="s">
        <v>414</v>
      </c>
      <c r="E568" s="230" t="s">
        <v>915</v>
      </c>
      <c r="F568" s="231">
        <v>85948.22</v>
      </c>
      <c r="G568" s="232">
        <f t="shared" si="220"/>
        <v>0.50503707795183983</v>
      </c>
      <c r="H568" s="233">
        <v>144413.54</v>
      </c>
      <c r="I568" s="234">
        <f t="shared" si="235"/>
        <v>295800</v>
      </c>
      <c r="J568" s="936">
        <f t="shared" si="221"/>
        <v>1.7381391686547343</v>
      </c>
      <c r="K568" s="241">
        <f t="shared" si="236"/>
        <v>295800</v>
      </c>
      <c r="L568" s="236">
        <f>SUM(M568:R568)</f>
        <v>295800</v>
      </c>
      <c r="M568" s="236">
        <v>60000</v>
      </c>
      <c r="N568" s="236">
        <v>230000</v>
      </c>
      <c r="O568" s="245"/>
      <c r="P568" s="245"/>
      <c r="Q568" s="245"/>
      <c r="R568" s="236">
        <f>1000+4800</f>
        <v>5800</v>
      </c>
      <c r="S568" s="245"/>
      <c r="T568" s="236">
        <f>SUM(U568:AD568)</f>
        <v>0</v>
      </c>
      <c r="U568" s="245"/>
      <c r="V568" s="245"/>
      <c r="W568" s="245"/>
      <c r="X568" s="245"/>
      <c r="Y568" s="245"/>
      <c r="Z568" s="245"/>
      <c r="AA568" s="245"/>
      <c r="AB568" s="245"/>
      <c r="AC568" s="245"/>
      <c r="AD568" s="245"/>
      <c r="AE568" s="245"/>
    </row>
    <row r="569" spans="1:31" ht="15" x14ac:dyDescent="0.2">
      <c r="A569" s="219"/>
      <c r="B569" s="220" t="s">
        <v>916</v>
      </c>
      <c r="C569" s="221"/>
      <c r="D569" s="222" t="s">
        <v>917</v>
      </c>
      <c r="E569" s="223" t="str">
        <f>E570</f>
        <v>87 000,00</v>
      </c>
      <c r="F569" s="239">
        <f t="shared" ref="F569:AE569" si="237">F570</f>
        <v>30000</v>
      </c>
      <c r="G569" s="238">
        <f t="shared" si="220"/>
        <v>0.34482758620689657</v>
      </c>
      <c r="H569" s="239">
        <f t="shared" si="237"/>
        <v>84000</v>
      </c>
      <c r="I569" s="240">
        <f t="shared" si="237"/>
        <v>80000</v>
      </c>
      <c r="J569" s="937">
        <f t="shared" si="221"/>
        <v>0.91954022988505746</v>
      </c>
      <c r="K569" s="925">
        <f t="shared" si="237"/>
        <v>80000</v>
      </c>
      <c r="L569" s="223">
        <f t="shared" si="237"/>
        <v>80000</v>
      </c>
      <c r="M569" s="223">
        <f t="shared" si="237"/>
        <v>80000</v>
      </c>
      <c r="N569" s="223">
        <f t="shared" si="237"/>
        <v>0</v>
      </c>
      <c r="O569" s="223">
        <f t="shared" si="237"/>
        <v>0</v>
      </c>
      <c r="P569" s="223">
        <f t="shared" si="237"/>
        <v>0</v>
      </c>
      <c r="Q569" s="223">
        <f t="shared" si="237"/>
        <v>0</v>
      </c>
      <c r="R569" s="226">
        <f>R570</f>
        <v>0</v>
      </c>
      <c r="S569" s="223">
        <f t="shared" si="237"/>
        <v>0</v>
      </c>
      <c r="T569" s="223">
        <f t="shared" si="237"/>
        <v>0</v>
      </c>
      <c r="U569" s="223">
        <f t="shared" si="237"/>
        <v>0</v>
      </c>
      <c r="V569" s="223">
        <f t="shared" si="237"/>
        <v>0</v>
      </c>
      <c r="W569" s="223">
        <f t="shared" si="237"/>
        <v>0</v>
      </c>
      <c r="X569" s="223">
        <f t="shared" si="237"/>
        <v>0</v>
      </c>
      <c r="Y569" s="223">
        <f t="shared" si="237"/>
        <v>0</v>
      </c>
      <c r="Z569" s="223">
        <f t="shared" si="237"/>
        <v>0</v>
      </c>
      <c r="AA569" s="223">
        <f t="shared" si="237"/>
        <v>0</v>
      </c>
      <c r="AB569" s="223">
        <f t="shared" si="237"/>
        <v>0</v>
      </c>
      <c r="AC569" s="223">
        <f t="shared" si="237"/>
        <v>0</v>
      </c>
      <c r="AD569" s="223">
        <f t="shared" si="237"/>
        <v>0</v>
      </c>
      <c r="AE569" s="223">
        <f t="shared" si="237"/>
        <v>0</v>
      </c>
    </row>
    <row r="570" spans="1:31" ht="45" x14ac:dyDescent="0.2">
      <c r="A570" s="227"/>
      <c r="B570" s="227"/>
      <c r="C570" s="228" t="s">
        <v>588</v>
      </c>
      <c r="D570" s="229" t="s">
        <v>589</v>
      </c>
      <c r="E570" s="230" t="s">
        <v>918</v>
      </c>
      <c r="F570" s="231">
        <v>30000</v>
      </c>
      <c r="G570" s="232">
        <f t="shared" si="220"/>
        <v>0.34482758620689657</v>
      </c>
      <c r="H570" s="233">
        <v>84000</v>
      </c>
      <c r="I570" s="234">
        <f>K570</f>
        <v>80000</v>
      </c>
      <c r="J570" s="936">
        <f t="shared" si="221"/>
        <v>0.91954022988505746</v>
      </c>
      <c r="K570" s="241">
        <f>L570+S570+T570</f>
        <v>80000</v>
      </c>
      <c r="L570" s="236">
        <f>SUM(M570:R570)</f>
        <v>80000</v>
      </c>
      <c r="M570" s="236">
        <v>80000</v>
      </c>
      <c r="N570" s="236"/>
      <c r="O570" s="236"/>
      <c r="P570" s="236"/>
      <c r="Q570" s="236"/>
      <c r="R570" s="236"/>
      <c r="S570" s="236"/>
      <c r="T570" s="236">
        <f>SUM(U570:AD570)</f>
        <v>0</v>
      </c>
      <c r="U570" s="236"/>
      <c r="V570" s="236"/>
      <c r="W570" s="236"/>
      <c r="X570" s="236"/>
      <c r="Y570" s="236"/>
      <c r="Z570" s="236"/>
      <c r="AA570" s="236"/>
      <c r="AB570" s="236"/>
      <c r="AC570" s="236"/>
      <c r="AD570" s="236"/>
      <c r="AE570" s="236"/>
    </row>
    <row r="571" spans="1:31" ht="15" x14ac:dyDescent="0.2">
      <c r="A571" s="219"/>
      <c r="B571" s="220" t="s">
        <v>919</v>
      </c>
      <c r="C571" s="221"/>
      <c r="D571" s="222" t="s">
        <v>920</v>
      </c>
      <c r="E571" s="223">
        <f>E572+E573+E574+E575+E576+E577+E578</f>
        <v>393488.64000000001</v>
      </c>
      <c r="F571" s="239">
        <f t="shared" ref="F571:AE571" si="238">F572+F573+F574+F575+F576+F577+F578</f>
        <v>339584.14</v>
      </c>
      <c r="G571" s="238">
        <f t="shared" si="220"/>
        <v>0.86300875166307212</v>
      </c>
      <c r="H571" s="239">
        <f t="shared" si="238"/>
        <v>376737.74</v>
      </c>
      <c r="I571" s="240">
        <f t="shared" si="238"/>
        <v>127000</v>
      </c>
      <c r="J571" s="937">
        <f t="shared" si="221"/>
        <v>0.32275391736849124</v>
      </c>
      <c r="K571" s="925">
        <f t="shared" si="238"/>
        <v>127000</v>
      </c>
      <c r="L571" s="223">
        <f t="shared" si="238"/>
        <v>127000</v>
      </c>
      <c r="M571" s="223">
        <f t="shared" si="238"/>
        <v>127000</v>
      </c>
      <c r="N571" s="223">
        <f t="shared" si="238"/>
        <v>0</v>
      </c>
      <c r="O571" s="223">
        <f t="shared" si="238"/>
        <v>0</v>
      </c>
      <c r="P571" s="223">
        <f t="shared" si="238"/>
        <v>0</v>
      </c>
      <c r="Q571" s="223">
        <f t="shared" si="238"/>
        <v>0</v>
      </c>
      <c r="R571" s="226">
        <f>R572+R573+R574+R575+R576+R577+R578</f>
        <v>0</v>
      </c>
      <c r="S571" s="223">
        <f t="shared" si="238"/>
        <v>0</v>
      </c>
      <c r="T571" s="223">
        <f t="shared" si="238"/>
        <v>0</v>
      </c>
      <c r="U571" s="223">
        <f t="shared" si="238"/>
        <v>0</v>
      </c>
      <c r="V571" s="223">
        <f t="shared" si="238"/>
        <v>0</v>
      </c>
      <c r="W571" s="223">
        <f t="shared" si="238"/>
        <v>0</v>
      </c>
      <c r="X571" s="223">
        <f t="shared" si="238"/>
        <v>0</v>
      </c>
      <c r="Y571" s="223">
        <f t="shared" si="238"/>
        <v>0</v>
      </c>
      <c r="Z571" s="223">
        <f t="shared" si="238"/>
        <v>0</v>
      </c>
      <c r="AA571" s="223">
        <f t="shared" si="238"/>
        <v>0</v>
      </c>
      <c r="AB571" s="223">
        <f t="shared" si="238"/>
        <v>0</v>
      </c>
      <c r="AC571" s="223">
        <f t="shared" si="238"/>
        <v>0</v>
      </c>
      <c r="AD571" s="223">
        <f t="shared" si="238"/>
        <v>0</v>
      </c>
      <c r="AE571" s="223">
        <f t="shared" si="238"/>
        <v>0</v>
      </c>
    </row>
    <row r="572" spans="1:31" ht="33.75" x14ac:dyDescent="0.2">
      <c r="A572" s="227"/>
      <c r="B572" s="227"/>
      <c r="C572" s="228" t="s">
        <v>251</v>
      </c>
      <c r="D572" s="229" t="s">
        <v>429</v>
      </c>
      <c r="E572" s="230" t="s">
        <v>793</v>
      </c>
      <c r="F572" s="231">
        <v>103250</v>
      </c>
      <c r="G572" s="232">
        <f t="shared" si="220"/>
        <v>0.86041666666666672</v>
      </c>
      <c r="H572" s="233">
        <v>103250</v>
      </c>
      <c r="I572" s="234">
        <f>K572</f>
        <v>120000</v>
      </c>
      <c r="J572" s="936">
        <f t="shared" si="221"/>
        <v>1</v>
      </c>
      <c r="K572" s="241">
        <f>L572+S572+T572</f>
        <v>120000</v>
      </c>
      <c r="L572" s="236">
        <f>SUM(M572:R572)</f>
        <v>120000</v>
      </c>
      <c r="M572" s="236">
        <v>120000</v>
      </c>
      <c r="N572" s="236"/>
      <c r="O572" s="236"/>
      <c r="P572" s="236"/>
      <c r="Q572" s="236"/>
      <c r="R572" s="236"/>
      <c r="S572" s="236"/>
      <c r="T572" s="236">
        <f>SUM(U572:AD572)</f>
        <v>0</v>
      </c>
      <c r="U572" s="236"/>
      <c r="V572" s="236"/>
      <c r="W572" s="236"/>
      <c r="X572" s="236"/>
      <c r="Y572" s="236"/>
      <c r="Z572" s="236"/>
      <c r="AA572" s="236"/>
      <c r="AB572" s="236"/>
      <c r="AC572" s="236"/>
      <c r="AD572" s="236"/>
      <c r="AE572" s="236"/>
    </row>
    <row r="573" spans="1:31" x14ac:dyDescent="0.2">
      <c r="A573" s="227"/>
      <c r="B573" s="227"/>
      <c r="C573" s="228" t="s">
        <v>404</v>
      </c>
      <c r="D573" s="229" t="s">
        <v>405</v>
      </c>
      <c r="E573" s="230" t="s">
        <v>921</v>
      </c>
      <c r="F573" s="231">
        <v>171</v>
      </c>
      <c r="G573" s="232">
        <f t="shared" si="220"/>
        <v>0.9947643979057591</v>
      </c>
      <c r="H573" s="233">
        <v>171</v>
      </c>
      <c r="I573" s="234">
        <f t="shared" ref="I573:I578" si="239">K573</f>
        <v>171</v>
      </c>
      <c r="J573" s="936">
        <f t="shared" si="221"/>
        <v>0.9947643979057591</v>
      </c>
      <c r="K573" s="241">
        <f t="shared" ref="K573:K578" si="240">L573+S573+T573</f>
        <v>171</v>
      </c>
      <c r="L573" s="236">
        <f t="shared" ref="L573:L578" si="241">SUM(M573:R573)</f>
        <v>171</v>
      </c>
      <c r="M573" s="236">
        <v>171</v>
      </c>
      <c r="N573" s="236"/>
      <c r="O573" s="236"/>
      <c r="P573" s="236"/>
      <c r="Q573" s="236"/>
      <c r="R573" s="236"/>
      <c r="S573" s="236"/>
      <c r="T573" s="236">
        <f t="shared" ref="T573:T578" si="242">SUM(U573:AD573)</f>
        <v>0</v>
      </c>
      <c r="U573" s="236"/>
      <c r="V573" s="236"/>
      <c r="W573" s="236"/>
      <c r="X573" s="236"/>
      <c r="Y573" s="236"/>
      <c r="Z573" s="236"/>
      <c r="AA573" s="236"/>
      <c r="AB573" s="236"/>
      <c r="AC573" s="236"/>
      <c r="AD573" s="236"/>
      <c r="AE573" s="236"/>
    </row>
    <row r="574" spans="1:31" x14ac:dyDescent="0.2">
      <c r="A574" s="227"/>
      <c r="B574" s="227"/>
      <c r="C574" s="228" t="s">
        <v>407</v>
      </c>
      <c r="D574" s="229" t="s">
        <v>408</v>
      </c>
      <c r="E574" s="230" t="s">
        <v>922</v>
      </c>
      <c r="F574" s="231">
        <v>24.5</v>
      </c>
      <c r="G574" s="232">
        <f t="shared" si="220"/>
        <v>1</v>
      </c>
      <c r="H574" s="233">
        <v>24.5</v>
      </c>
      <c r="I574" s="234">
        <f t="shared" si="239"/>
        <v>24.5</v>
      </c>
      <c r="J574" s="936">
        <f t="shared" si="221"/>
        <v>1</v>
      </c>
      <c r="K574" s="241">
        <f t="shared" si="240"/>
        <v>24.5</v>
      </c>
      <c r="L574" s="236">
        <f t="shared" si="241"/>
        <v>24.5</v>
      </c>
      <c r="M574" s="236">
        <v>24.5</v>
      </c>
      <c r="N574" s="236"/>
      <c r="O574" s="236"/>
      <c r="P574" s="236"/>
      <c r="Q574" s="236"/>
      <c r="R574" s="236"/>
      <c r="S574" s="236"/>
      <c r="T574" s="236">
        <f t="shared" si="242"/>
        <v>0</v>
      </c>
      <c r="U574" s="236"/>
      <c r="V574" s="236"/>
      <c r="W574" s="236"/>
      <c r="X574" s="236"/>
      <c r="Y574" s="236"/>
      <c r="Z574" s="236"/>
      <c r="AA574" s="236"/>
      <c r="AB574" s="236"/>
      <c r="AC574" s="236"/>
      <c r="AD574" s="236"/>
      <c r="AE574" s="236"/>
    </row>
    <row r="575" spans="1:31" x14ac:dyDescent="0.2">
      <c r="A575" s="227"/>
      <c r="B575" s="227"/>
      <c r="C575" s="228" t="s">
        <v>420</v>
      </c>
      <c r="D575" s="229" t="s">
        <v>421</v>
      </c>
      <c r="E575" s="230" t="s">
        <v>113</v>
      </c>
      <c r="F575" s="231">
        <v>1000</v>
      </c>
      <c r="G575" s="232">
        <f t="shared" si="220"/>
        <v>1</v>
      </c>
      <c r="H575" s="233">
        <v>1000</v>
      </c>
      <c r="I575" s="234">
        <f t="shared" si="239"/>
        <v>1000</v>
      </c>
      <c r="J575" s="936">
        <f t="shared" si="221"/>
        <v>1</v>
      </c>
      <c r="K575" s="241">
        <f t="shared" si="240"/>
        <v>1000</v>
      </c>
      <c r="L575" s="236">
        <f t="shared" si="241"/>
        <v>1000</v>
      </c>
      <c r="M575" s="236">
        <v>1000</v>
      </c>
      <c r="N575" s="236"/>
      <c r="O575" s="236"/>
      <c r="P575" s="236"/>
      <c r="Q575" s="236"/>
      <c r="R575" s="236"/>
      <c r="S575" s="236"/>
      <c r="T575" s="236">
        <f t="shared" si="242"/>
        <v>0</v>
      </c>
      <c r="U575" s="236"/>
      <c r="V575" s="236"/>
      <c r="W575" s="236"/>
      <c r="X575" s="236"/>
      <c r="Y575" s="236"/>
      <c r="Z575" s="236"/>
      <c r="AA575" s="236"/>
      <c r="AB575" s="236"/>
      <c r="AC575" s="236"/>
      <c r="AD575" s="236"/>
      <c r="AE575" s="236"/>
    </row>
    <row r="576" spans="1:31" x14ac:dyDescent="0.2">
      <c r="A576" s="227"/>
      <c r="B576" s="227"/>
      <c r="C576" s="228" t="s">
        <v>410</v>
      </c>
      <c r="D576" s="229" t="s">
        <v>411</v>
      </c>
      <c r="E576" s="230" t="s">
        <v>923</v>
      </c>
      <c r="F576" s="231">
        <v>0</v>
      </c>
      <c r="G576" s="232">
        <f t="shared" si="220"/>
        <v>0</v>
      </c>
      <c r="H576" s="233">
        <v>3196.4</v>
      </c>
      <c r="I576" s="234">
        <f t="shared" si="239"/>
        <v>804.5</v>
      </c>
      <c r="J576" s="936">
        <f t="shared" si="221"/>
        <v>0.25168940057564759</v>
      </c>
      <c r="K576" s="241">
        <f t="shared" si="240"/>
        <v>804.5</v>
      </c>
      <c r="L576" s="236">
        <f t="shared" si="241"/>
        <v>804.5</v>
      </c>
      <c r="M576" s="236">
        <f>1000-195.5</f>
        <v>804.5</v>
      </c>
      <c r="N576" s="236"/>
      <c r="O576" s="236"/>
      <c r="P576" s="236"/>
      <c r="Q576" s="236"/>
      <c r="R576" s="236"/>
      <c r="S576" s="236"/>
      <c r="T576" s="236">
        <f t="shared" si="242"/>
        <v>0</v>
      </c>
      <c r="U576" s="236"/>
      <c r="V576" s="236"/>
      <c r="W576" s="236"/>
      <c r="X576" s="236"/>
      <c r="Y576" s="236"/>
      <c r="Z576" s="236"/>
      <c r="AA576" s="236"/>
      <c r="AB576" s="236"/>
      <c r="AC576" s="236"/>
      <c r="AD576" s="236"/>
      <c r="AE576" s="236"/>
    </row>
    <row r="577" spans="1:31" x14ac:dyDescent="0.2">
      <c r="A577" s="227"/>
      <c r="B577" s="227"/>
      <c r="C577" s="228" t="s">
        <v>413</v>
      </c>
      <c r="D577" s="229" t="s">
        <v>414</v>
      </c>
      <c r="E577" s="230" t="s">
        <v>924</v>
      </c>
      <c r="F577" s="231">
        <v>1650</v>
      </c>
      <c r="G577" s="232">
        <f t="shared" si="220"/>
        <v>4.6338942685748952E-2</v>
      </c>
      <c r="H577" s="233">
        <v>35607.199999999997</v>
      </c>
      <c r="I577" s="234">
        <f t="shared" si="239"/>
        <v>5000</v>
      </c>
      <c r="J577" s="936">
        <f t="shared" si="221"/>
        <v>0.14042103844166348</v>
      </c>
      <c r="K577" s="241">
        <f t="shared" si="240"/>
        <v>5000</v>
      </c>
      <c r="L577" s="236">
        <f t="shared" si="241"/>
        <v>5000</v>
      </c>
      <c r="M577" s="236">
        <v>5000</v>
      </c>
      <c r="N577" s="236"/>
      <c r="O577" s="236"/>
      <c r="P577" s="236"/>
      <c r="Q577" s="236"/>
      <c r="R577" s="236"/>
      <c r="S577" s="236"/>
      <c r="T577" s="236">
        <f t="shared" si="242"/>
        <v>0</v>
      </c>
      <c r="U577" s="236"/>
      <c r="V577" s="236"/>
      <c r="W577" s="236"/>
      <c r="X577" s="236"/>
      <c r="Y577" s="236"/>
      <c r="Z577" s="236"/>
      <c r="AA577" s="236"/>
      <c r="AB577" s="236"/>
      <c r="AC577" s="236"/>
      <c r="AD577" s="236"/>
      <c r="AE577" s="236"/>
    </row>
    <row r="578" spans="1:31" ht="45" x14ac:dyDescent="0.2">
      <c r="A578" s="227"/>
      <c r="B578" s="227"/>
      <c r="C578" s="228" t="s">
        <v>37</v>
      </c>
      <c r="D578" s="229" t="s">
        <v>435</v>
      </c>
      <c r="E578" s="230" t="s">
        <v>925</v>
      </c>
      <c r="F578" s="231">
        <v>233488.64000000001</v>
      </c>
      <c r="G578" s="232">
        <f t="shared" si="220"/>
        <v>1</v>
      </c>
      <c r="H578" s="233">
        <v>233488.64000000001</v>
      </c>
      <c r="I578" s="234">
        <f t="shared" si="239"/>
        <v>0</v>
      </c>
      <c r="J578" s="936">
        <f t="shared" si="221"/>
        <v>0</v>
      </c>
      <c r="K578" s="241">
        <f t="shared" si="240"/>
        <v>0</v>
      </c>
      <c r="L578" s="236">
        <f t="shared" si="241"/>
        <v>0</v>
      </c>
      <c r="M578" s="236"/>
      <c r="N578" s="236"/>
      <c r="O578" s="236"/>
      <c r="P578" s="236"/>
      <c r="Q578" s="236"/>
      <c r="R578" s="236"/>
      <c r="S578" s="236"/>
      <c r="T578" s="236">
        <f t="shared" si="242"/>
        <v>0</v>
      </c>
      <c r="U578" s="236"/>
      <c r="V578" s="236"/>
      <c r="W578" s="236"/>
      <c r="X578" s="236"/>
      <c r="Y578" s="236"/>
      <c r="Z578" s="236"/>
      <c r="AA578" s="236"/>
      <c r="AB578" s="236"/>
      <c r="AC578" s="236"/>
      <c r="AD578" s="236"/>
      <c r="AE578" s="236"/>
    </row>
    <row r="579" spans="1:31" ht="15" x14ac:dyDescent="0.2">
      <c r="A579" s="219"/>
      <c r="B579" s="220" t="s">
        <v>926</v>
      </c>
      <c r="C579" s="221"/>
      <c r="D579" s="222" t="s">
        <v>927</v>
      </c>
      <c r="E579" s="223">
        <f>E580+E581+E582</f>
        <v>1055000</v>
      </c>
      <c r="F579" s="239">
        <f t="shared" ref="F579:AE579" si="243">F580+F581+F582</f>
        <v>506615.88</v>
      </c>
      <c r="G579" s="238">
        <f t="shared" si="220"/>
        <v>0.48020462559241706</v>
      </c>
      <c r="H579" s="239">
        <f t="shared" si="243"/>
        <v>1053853.23</v>
      </c>
      <c r="I579" s="240">
        <f t="shared" si="243"/>
        <v>1072000</v>
      </c>
      <c r="J579" s="937">
        <f t="shared" si="221"/>
        <v>1.0161137440758294</v>
      </c>
      <c r="K579" s="925">
        <f t="shared" si="243"/>
        <v>1072000</v>
      </c>
      <c r="L579" s="223">
        <f t="shared" si="243"/>
        <v>1072000</v>
      </c>
      <c r="M579" s="223">
        <f t="shared" si="243"/>
        <v>0</v>
      </c>
      <c r="N579" s="223">
        <f t="shared" si="243"/>
        <v>1065000</v>
      </c>
      <c r="O579" s="223">
        <f t="shared" si="243"/>
        <v>0</v>
      </c>
      <c r="P579" s="223">
        <f t="shared" si="243"/>
        <v>0</v>
      </c>
      <c r="Q579" s="223">
        <f t="shared" si="243"/>
        <v>0</v>
      </c>
      <c r="R579" s="226">
        <f>R580+R581+R582</f>
        <v>7000</v>
      </c>
      <c r="S579" s="223">
        <f t="shared" si="243"/>
        <v>0</v>
      </c>
      <c r="T579" s="223">
        <f t="shared" si="243"/>
        <v>0</v>
      </c>
      <c r="U579" s="223">
        <f t="shared" si="243"/>
        <v>0</v>
      </c>
      <c r="V579" s="223">
        <f t="shared" si="243"/>
        <v>0</v>
      </c>
      <c r="W579" s="223">
        <f t="shared" si="243"/>
        <v>0</v>
      </c>
      <c r="X579" s="223">
        <f t="shared" si="243"/>
        <v>0</v>
      </c>
      <c r="Y579" s="223">
        <f t="shared" si="243"/>
        <v>0</v>
      </c>
      <c r="Z579" s="223">
        <f t="shared" si="243"/>
        <v>0</v>
      </c>
      <c r="AA579" s="223">
        <f t="shared" si="243"/>
        <v>0</v>
      </c>
      <c r="AB579" s="223">
        <f t="shared" si="243"/>
        <v>0</v>
      </c>
      <c r="AC579" s="223">
        <f t="shared" si="243"/>
        <v>0</v>
      </c>
      <c r="AD579" s="223">
        <f t="shared" si="243"/>
        <v>0</v>
      </c>
      <c r="AE579" s="223">
        <f t="shared" si="243"/>
        <v>0</v>
      </c>
    </row>
    <row r="580" spans="1:31" x14ac:dyDescent="0.2">
      <c r="A580" s="227"/>
      <c r="B580" s="227"/>
      <c r="C580" s="228" t="s">
        <v>424</v>
      </c>
      <c r="D580" s="229" t="s">
        <v>425</v>
      </c>
      <c r="E580" s="230" t="s">
        <v>928</v>
      </c>
      <c r="F580" s="231">
        <v>326252.21999999997</v>
      </c>
      <c r="G580" s="232">
        <f t="shared" si="220"/>
        <v>0.59318585454545447</v>
      </c>
      <c r="H580" s="233">
        <v>548853.23</v>
      </c>
      <c r="I580" s="234">
        <f>K580</f>
        <v>600000</v>
      </c>
      <c r="J580" s="936">
        <f t="shared" si="221"/>
        <v>1.0909090909090908</v>
      </c>
      <c r="K580" s="241">
        <f>L580+S580+T580</f>
        <v>600000</v>
      </c>
      <c r="L580" s="236">
        <f>SUM(M580:R580)</f>
        <v>600000</v>
      </c>
      <c r="M580" s="236"/>
      <c r="N580" s="236">
        <v>600000</v>
      </c>
      <c r="O580" s="236"/>
      <c r="P580" s="236"/>
      <c r="Q580" s="236"/>
      <c r="R580" s="236"/>
      <c r="S580" s="236"/>
      <c r="T580" s="236">
        <f>SUM(U580:AD580)</f>
        <v>0</v>
      </c>
      <c r="U580" s="236"/>
      <c r="V580" s="236"/>
      <c r="W580" s="236"/>
      <c r="X580" s="236"/>
      <c r="Y580" s="236"/>
      <c r="Z580" s="236"/>
      <c r="AA580" s="236"/>
      <c r="AB580" s="236"/>
      <c r="AC580" s="236"/>
      <c r="AD580" s="236"/>
      <c r="AE580" s="236"/>
    </row>
    <row r="581" spans="1:31" x14ac:dyDescent="0.2">
      <c r="A581" s="227"/>
      <c r="B581" s="227"/>
      <c r="C581" s="228" t="s">
        <v>413</v>
      </c>
      <c r="D581" s="229" t="s">
        <v>414</v>
      </c>
      <c r="E581" s="230" t="s">
        <v>929</v>
      </c>
      <c r="F581" s="231">
        <v>180348.66</v>
      </c>
      <c r="G581" s="232">
        <f t="shared" si="220"/>
        <v>0.50802439436619717</v>
      </c>
      <c r="H581" s="233">
        <v>355000</v>
      </c>
      <c r="I581" s="234">
        <f t="shared" ref="I581:I582" si="244">K581</f>
        <v>422000</v>
      </c>
      <c r="J581" s="936">
        <f t="shared" si="221"/>
        <v>1.1887323943661972</v>
      </c>
      <c r="K581" s="241">
        <f t="shared" ref="K581:K582" si="245">L581+S581+T581</f>
        <v>422000</v>
      </c>
      <c r="L581" s="236">
        <f>SUM(M581:R581)</f>
        <v>422000</v>
      </c>
      <c r="M581" s="236"/>
      <c r="N581" s="236">
        <v>415000</v>
      </c>
      <c r="O581" s="236"/>
      <c r="P581" s="236"/>
      <c r="Q581" s="236"/>
      <c r="R581" s="236">
        <v>7000</v>
      </c>
      <c r="S581" s="236"/>
      <c r="T581" s="236">
        <f>SUM(U581:AD581)</f>
        <v>0</v>
      </c>
      <c r="U581" s="236"/>
      <c r="V581" s="236"/>
      <c r="W581" s="236"/>
      <c r="X581" s="236"/>
      <c r="Y581" s="236"/>
      <c r="Z581" s="236"/>
      <c r="AA581" s="236"/>
      <c r="AB581" s="236"/>
      <c r="AC581" s="236"/>
      <c r="AD581" s="236"/>
      <c r="AE581" s="236"/>
    </row>
    <row r="582" spans="1:31" x14ac:dyDescent="0.2">
      <c r="A582" s="227"/>
      <c r="B582" s="227"/>
      <c r="C582" s="228" t="s">
        <v>443</v>
      </c>
      <c r="D582" s="229" t="s">
        <v>444</v>
      </c>
      <c r="E582" s="230" t="s">
        <v>827</v>
      </c>
      <c r="F582" s="231">
        <v>15</v>
      </c>
      <c r="G582" s="232">
        <f t="shared" si="220"/>
        <v>1E-4</v>
      </c>
      <c r="H582" s="233">
        <v>150000</v>
      </c>
      <c r="I582" s="234">
        <f t="shared" si="244"/>
        <v>50000</v>
      </c>
      <c r="J582" s="936">
        <f t="shared" si="221"/>
        <v>0.33333333333333331</v>
      </c>
      <c r="K582" s="241">
        <f t="shared" si="245"/>
        <v>50000</v>
      </c>
      <c r="L582" s="236">
        <f>SUM(M582:R582)</f>
        <v>50000</v>
      </c>
      <c r="M582" s="236"/>
      <c r="N582" s="236">
        <v>50000</v>
      </c>
      <c r="O582" s="236"/>
      <c r="P582" s="236"/>
      <c r="Q582" s="236"/>
      <c r="R582" s="236"/>
      <c r="S582" s="236"/>
      <c r="T582" s="236">
        <f>SUM(U582:AD582)</f>
        <v>0</v>
      </c>
      <c r="U582" s="236"/>
      <c r="V582" s="236"/>
      <c r="W582" s="236"/>
      <c r="X582" s="236"/>
      <c r="Y582" s="236"/>
      <c r="Z582" s="236"/>
      <c r="AA582" s="236"/>
      <c r="AB582" s="236"/>
      <c r="AC582" s="236"/>
      <c r="AD582" s="236"/>
      <c r="AE582" s="236"/>
    </row>
    <row r="583" spans="1:31" ht="22.5" x14ac:dyDescent="0.2">
      <c r="A583" s="219"/>
      <c r="B583" s="220" t="s">
        <v>352</v>
      </c>
      <c r="C583" s="221"/>
      <c r="D583" s="222" t="s">
        <v>353</v>
      </c>
      <c r="E583" s="223" t="str">
        <f>E584</f>
        <v>10 000,00</v>
      </c>
      <c r="F583" s="239">
        <f t="shared" ref="F583:AE583" si="246">F584</f>
        <v>9869</v>
      </c>
      <c r="G583" s="238">
        <f t="shared" si="220"/>
        <v>0.9869</v>
      </c>
      <c r="H583" s="239">
        <f t="shared" si="246"/>
        <v>9869</v>
      </c>
      <c r="I583" s="240">
        <f t="shared" si="246"/>
        <v>28000</v>
      </c>
      <c r="J583" s="937">
        <f t="shared" si="221"/>
        <v>2.8</v>
      </c>
      <c r="K583" s="925">
        <f t="shared" si="246"/>
        <v>28000</v>
      </c>
      <c r="L583" s="223">
        <f t="shared" si="246"/>
        <v>28000</v>
      </c>
      <c r="M583" s="223">
        <f t="shared" si="246"/>
        <v>28000</v>
      </c>
      <c r="N583" s="223">
        <f t="shared" si="246"/>
        <v>0</v>
      </c>
      <c r="O583" s="223">
        <f t="shared" si="246"/>
        <v>0</v>
      </c>
      <c r="P583" s="223">
        <f t="shared" si="246"/>
        <v>0</v>
      </c>
      <c r="Q583" s="223">
        <f t="shared" si="246"/>
        <v>0</v>
      </c>
      <c r="R583" s="226">
        <f>R584</f>
        <v>0</v>
      </c>
      <c r="S583" s="223">
        <f t="shared" si="246"/>
        <v>0</v>
      </c>
      <c r="T583" s="223">
        <f t="shared" si="246"/>
        <v>0</v>
      </c>
      <c r="U583" s="223">
        <f t="shared" si="246"/>
        <v>0</v>
      </c>
      <c r="V583" s="223">
        <f t="shared" si="246"/>
        <v>0</v>
      </c>
      <c r="W583" s="223">
        <f t="shared" si="246"/>
        <v>0</v>
      </c>
      <c r="X583" s="223">
        <f t="shared" si="246"/>
        <v>0</v>
      </c>
      <c r="Y583" s="223">
        <f t="shared" si="246"/>
        <v>0</v>
      </c>
      <c r="Z583" s="223">
        <f t="shared" si="246"/>
        <v>0</v>
      </c>
      <c r="AA583" s="223">
        <f t="shared" si="246"/>
        <v>0</v>
      </c>
      <c r="AB583" s="223">
        <f t="shared" si="246"/>
        <v>0</v>
      </c>
      <c r="AC583" s="223">
        <f t="shared" si="246"/>
        <v>0</v>
      </c>
      <c r="AD583" s="223">
        <f t="shared" si="246"/>
        <v>0</v>
      </c>
      <c r="AE583" s="223">
        <f t="shared" si="246"/>
        <v>0</v>
      </c>
    </row>
    <row r="584" spans="1:31" x14ac:dyDescent="0.2">
      <c r="A584" s="227"/>
      <c r="B584" s="227"/>
      <c r="C584" s="292" t="s">
        <v>416</v>
      </c>
      <c r="D584" s="293" t="s">
        <v>417</v>
      </c>
      <c r="E584" s="294" t="s">
        <v>68</v>
      </c>
      <c r="F584" s="295">
        <v>9869</v>
      </c>
      <c r="G584" s="296">
        <f t="shared" si="220"/>
        <v>0.9869</v>
      </c>
      <c r="H584" s="297">
        <v>9869</v>
      </c>
      <c r="I584" s="298">
        <f>K584</f>
        <v>28000</v>
      </c>
      <c r="J584" s="941">
        <f t="shared" si="221"/>
        <v>2.8</v>
      </c>
      <c r="K584" s="241">
        <f>L584+S584+T584</f>
        <v>28000</v>
      </c>
      <c r="L584" s="256">
        <f>SUM(M584:R584)</f>
        <v>28000</v>
      </c>
      <c r="M584" s="256">
        <v>28000</v>
      </c>
      <c r="N584" s="256"/>
      <c r="O584" s="256"/>
      <c r="P584" s="256"/>
      <c r="Q584" s="256"/>
      <c r="R584" s="256"/>
      <c r="S584" s="256"/>
      <c r="T584" s="256">
        <f>SUM(U584:AD584)</f>
        <v>0</v>
      </c>
      <c r="U584" s="256"/>
      <c r="V584" s="256"/>
      <c r="W584" s="256"/>
      <c r="X584" s="256"/>
      <c r="Y584" s="256"/>
      <c r="Z584" s="256"/>
      <c r="AA584" s="256"/>
      <c r="AB584" s="256"/>
      <c r="AC584" s="256"/>
      <c r="AD584" s="256"/>
      <c r="AE584" s="256"/>
    </row>
    <row r="585" spans="1:31" x14ac:dyDescent="0.2">
      <c r="A585" s="300"/>
      <c r="B585" s="301" t="s">
        <v>930</v>
      </c>
      <c r="C585" s="301"/>
      <c r="D585" s="316" t="s">
        <v>931</v>
      </c>
      <c r="E585" s="303">
        <f>E586+E587+E588</f>
        <v>0</v>
      </c>
      <c r="F585" s="317">
        <f t="shared" ref="F585:AE585" si="247">F586+F587+F588</f>
        <v>0</v>
      </c>
      <c r="G585" s="317">
        <f t="shared" si="247"/>
        <v>0</v>
      </c>
      <c r="H585" s="318">
        <f t="shared" si="247"/>
        <v>0</v>
      </c>
      <c r="I585" s="319">
        <f t="shared" si="247"/>
        <v>50000</v>
      </c>
      <c r="J585" s="973">
        <v>0</v>
      </c>
      <c r="K585" s="320">
        <f t="shared" si="247"/>
        <v>50000</v>
      </c>
      <c r="L585" s="303">
        <f t="shared" si="247"/>
        <v>50000</v>
      </c>
      <c r="M585" s="303">
        <f t="shared" si="247"/>
        <v>50000</v>
      </c>
      <c r="N585" s="303">
        <f t="shared" si="247"/>
        <v>0</v>
      </c>
      <c r="O585" s="303">
        <f t="shared" si="247"/>
        <v>0</v>
      </c>
      <c r="P585" s="303">
        <f t="shared" si="247"/>
        <v>0</v>
      </c>
      <c r="Q585" s="303">
        <f t="shared" si="247"/>
        <v>0</v>
      </c>
      <c r="R585" s="303">
        <f t="shared" si="247"/>
        <v>0</v>
      </c>
      <c r="S585" s="303">
        <f t="shared" si="247"/>
        <v>0</v>
      </c>
      <c r="T585" s="303">
        <f t="shared" si="247"/>
        <v>0</v>
      </c>
      <c r="U585" s="303">
        <f t="shared" si="247"/>
        <v>0</v>
      </c>
      <c r="V585" s="303">
        <f t="shared" si="247"/>
        <v>0</v>
      </c>
      <c r="W585" s="303">
        <f t="shared" si="247"/>
        <v>0</v>
      </c>
      <c r="X585" s="303">
        <f t="shared" si="247"/>
        <v>0</v>
      </c>
      <c r="Y585" s="303">
        <f t="shared" si="247"/>
        <v>0</v>
      </c>
      <c r="Z585" s="303">
        <f t="shared" si="247"/>
        <v>0</v>
      </c>
      <c r="AA585" s="303">
        <f t="shared" si="247"/>
        <v>0</v>
      </c>
      <c r="AB585" s="303">
        <f t="shared" si="247"/>
        <v>0</v>
      </c>
      <c r="AC585" s="303">
        <f t="shared" si="247"/>
        <v>0</v>
      </c>
      <c r="AD585" s="303">
        <f t="shared" si="247"/>
        <v>0</v>
      </c>
      <c r="AE585" s="303">
        <f t="shared" si="247"/>
        <v>0</v>
      </c>
    </row>
    <row r="586" spans="1:31" ht="33.75" x14ac:dyDescent="0.2">
      <c r="A586" s="227"/>
      <c r="B586" s="321"/>
      <c r="C586" s="228" t="s">
        <v>679</v>
      </c>
      <c r="D586" s="229" t="s">
        <v>680</v>
      </c>
      <c r="E586" s="230">
        <v>0</v>
      </c>
      <c r="F586" s="231">
        <v>0</v>
      </c>
      <c r="G586" s="232">
        <v>0</v>
      </c>
      <c r="H586" s="233">
        <v>0</v>
      </c>
      <c r="I586" s="234">
        <f>K586</f>
        <v>30000</v>
      </c>
      <c r="J586" s="936">
        <v>0</v>
      </c>
      <c r="K586" s="241">
        <f>L586+S586+T586</f>
        <v>30000</v>
      </c>
      <c r="L586" s="236">
        <f>SUM(M586:R586)</f>
        <v>30000</v>
      </c>
      <c r="M586" s="236">
        <v>30000</v>
      </c>
      <c r="N586" s="245"/>
      <c r="O586" s="245"/>
      <c r="P586" s="245"/>
      <c r="Q586" s="245"/>
      <c r="R586" s="245"/>
      <c r="S586" s="245"/>
      <c r="T586" s="236">
        <f>SUM(U586:AD586)</f>
        <v>0</v>
      </c>
      <c r="U586" s="245"/>
      <c r="V586" s="245"/>
      <c r="W586" s="245"/>
      <c r="X586" s="245"/>
      <c r="Y586" s="245"/>
      <c r="Z586" s="245"/>
      <c r="AA586" s="245"/>
      <c r="AB586" s="245"/>
      <c r="AC586" s="245"/>
      <c r="AD586" s="245"/>
      <c r="AE586" s="245"/>
    </row>
    <row r="587" spans="1:31" x14ac:dyDescent="0.2">
      <c r="A587" s="300"/>
      <c r="B587" s="984"/>
      <c r="C587" s="308" t="s">
        <v>410</v>
      </c>
      <c r="D587" s="322" t="s">
        <v>411</v>
      </c>
      <c r="E587" s="309">
        <v>0</v>
      </c>
      <c r="F587" s="231">
        <v>0</v>
      </c>
      <c r="G587" s="232">
        <v>0</v>
      </c>
      <c r="H587" s="233">
        <v>0</v>
      </c>
      <c r="I587" s="234">
        <f t="shared" ref="I587:I588" si="248">K587</f>
        <v>10000</v>
      </c>
      <c r="J587" s="936">
        <v>0</v>
      </c>
      <c r="K587" s="241">
        <f t="shared" ref="K587:K588" si="249">L587+S587+T587</f>
        <v>10000</v>
      </c>
      <c r="L587" s="236">
        <f t="shared" ref="L587:L588" si="250">SUM(M587:R587)</f>
        <v>10000</v>
      </c>
      <c r="M587" s="236">
        <v>10000</v>
      </c>
      <c r="N587" s="236"/>
      <c r="O587" s="236"/>
      <c r="P587" s="236"/>
      <c r="Q587" s="236"/>
      <c r="R587" s="236"/>
      <c r="S587" s="236"/>
      <c r="T587" s="236"/>
      <c r="U587" s="236"/>
      <c r="V587" s="236"/>
      <c r="W587" s="236"/>
      <c r="X587" s="236"/>
      <c r="Y587" s="236"/>
      <c r="Z587" s="236"/>
      <c r="AA587" s="236"/>
      <c r="AB587" s="236"/>
      <c r="AC587" s="236"/>
      <c r="AD587" s="236"/>
      <c r="AE587" s="236"/>
    </row>
    <row r="588" spans="1:31" x14ac:dyDescent="0.2">
      <c r="A588" s="300"/>
      <c r="B588" s="984"/>
      <c r="C588" s="308" t="s">
        <v>413</v>
      </c>
      <c r="D588" s="322" t="s">
        <v>414</v>
      </c>
      <c r="E588" s="309">
        <v>0</v>
      </c>
      <c r="F588" s="231">
        <v>0</v>
      </c>
      <c r="G588" s="232">
        <v>0</v>
      </c>
      <c r="H588" s="233">
        <v>0</v>
      </c>
      <c r="I588" s="234">
        <f t="shared" si="248"/>
        <v>10000</v>
      </c>
      <c r="J588" s="936">
        <v>0</v>
      </c>
      <c r="K588" s="241">
        <f t="shared" si="249"/>
        <v>10000</v>
      </c>
      <c r="L588" s="236">
        <f t="shared" si="250"/>
        <v>10000</v>
      </c>
      <c r="M588" s="236">
        <v>10000</v>
      </c>
      <c r="N588" s="236"/>
      <c r="O588" s="236"/>
      <c r="P588" s="236"/>
      <c r="Q588" s="236"/>
      <c r="R588" s="236"/>
      <c r="S588" s="236"/>
      <c r="T588" s="236"/>
      <c r="U588" s="236"/>
      <c r="V588" s="236"/>
      <c r="W588" s="236"/>
      <c r="X588" s="236"/>
      <c r="Y588" s="236"/>
      <c r="Z588" s="236"/>
      <c r="AA588" s="236"/>
      <c r="AB588" s="236"/>
      <c r="AC588" s="236"/>
      <c r="AD588" s="236"/>
      <c r="AE588" s="236"/>
    </row>
    <row r="589" spans="1:31" ht="15" x14ac:dyDescent="0.2">
      <c r="A589" s="323"/>
      <c r="B589" s="301" t="s">
        <v>354</v>
      </c>
      <c r="C589" s="324"/>
      <c r="D589" s="325" t="s">
        <v>41</v>
      </c>
      <c r="E589" s="258">
        <f>E590+E591+E592+E593+E594+E596+E595+E597</f>
        <v>238535.14</v>
      </c>
      <c r="F589" s="326">
        <f t="shared" ref="F589:AE589" si="251">F590+F591+F592+F593+F594+F596+F595+F597</f>
        <v>158409.13</v>
      </c>
      <c r="G589" s="327">
        <f>F589/E589</f>
        <v>0.66409137873774071</v>
      </c>
      <c r="H589" s="326">
        <f t="shared" si="251"/>
        <v>237746.29</v>
      </c>
      <c r="I589" s="328">
        <f t="shared" si="251"/>
        <v>378963</v>
      </c>
      <c r="J589" s="943">
        <f>I589/E589</f>
        <v>1.5887093197253872</v>
      </c>
      <c r="K589" s="931">
        <f t="shared" si="251"/>
        <v>378963</v>
      </c>
      <c r="L589" s="258">
        <f t="shared" si="251"/>
        <v>378963</v>
      </c>
      <c r="M589" s="258">
        <f t="shared" si="251"/>
        <v>50000</v>
      </c>
      <c r="N589" s="258">
        <f t="shared" si="251"/>
        <v>297880</v>
      </c>
      <c r="O589" s="258">
        <f t="shared" si="251"/>
        <v>0</v>
      </c>
      <c r="P589" s="258">
        <f t="shared" si="251"/>
        <v>31083</v>
      </c>
      <c r="Q589" s="258">
        <f t="shared" si="251"/>
        <v>0</v>
      </c>
      <c r="R589" s="258">
        <f t="shared" si="251"/>
        <v>0</v>
      </c>
      <c r="S589" s="258">
        <f t="shared" si="251"/>
        <v>0</v>
      </c>
      <c r="T589" s="258">
        <f t="shared" si="251"/>
        <v>0</v>
      </c>
      <c r="U589" s="258">
        <f t="shared" si="251"/>
        <v>0</v>
      </c>
      <c r="V589" s="258">
        <f t="shared" si="251"/>
        <v>0</v>
      </c>
      <c r="W589" s="258">
        <f t="shared" si="251"/>
        <v>0</v>
      </c>
      <c r="X589" s="258">
        <f t="shared" si="251"/>
        <v>0</v>
      </c>
      <c r="Y589" s="258">
        <f t="shared" si="251"/>
        <v>0</v>
      </c>
      <c r="Z589" s="258">
        <f t="shared" si="251"/>
        <v>0</v>
      </c>
      <c r="AA589" s="258">
        <f t="shared" si="251"/>
        <v>0</v>
      </c>
      <c r="AB589" s="258">
        <f t="shared" si="251"/>
        <v>0</v>
      </c>
      <c r="AC589" s="258">
        <f t="shared" si="251"/>
        <v>0</v>
      </c>
      <c r="AD589" s="258">
        <f t="shared" si="251"/>
        <v>0</v>
      </c>
      <c r="AE589" s="258">
        <f t="shared" si="251"/>
        <v>0</v>
      </c>
    </row>
    <row r="590" spans="1:31" x14ac:dyDescent="0.2">
      <c r="A590" s="227"/>
      <c r="B590" s="227"/>
      <c r="C590" s="228" t="s">
        <v>404</v>
      </c>
      <c r="D590" s="229" t="s">
        <v>405</v>
      </c>
      <c r="E590" s="230" t="s">
        <v>932</v>
      </c>
      <c r="F590" s="231">
        <v>822.42</v>
      </c>
      <c r="G590" s="232">
        <f t="shared" si="220"/>
        <v>0.21571106331637202</v>
      </c>
      <c r="H590" s="233">
        <v>3682.66</v>
      </c>
      <c r="I590" s="234">
        <f>K590</f>
        <v>4446</v>
      </c>
      <c r="J590" s="936">
        <f t="shared" si="221"/>
        <v>1.1661333473220374</v>
      </c>
      <c r="K590" s="241">
        <f>L590+S590+T590</f>
        <v>4446</v>
      </c>
      <c r="L590" s="236">
        <f t="shared" ref="L590:L597" si="252">SUM(M590:R590)</f>
        <v>4446</v>
      </c>
      <c r="M590" s="236"/>
      <c r="N590" s="236"/>
      <c r="O590" s="236"/>
      <c r="P590" s="236">
        <v>4446</v>
      </c>
      <c r="Q590" s="236"/>
      <c r="R590" s="236"/>
      <c r="S590" s="236"/>
      <c r="T590" s="236">
        <f t="shared" ref="T590:T596" si="253">SUM(U590:AD590)</f>
        <v>0</v>
      </c>
      <c r="U590" s="236"/>
      <c r="V590" s="236"/>
      <c r="W590" s="236"/>
      <c r="X590" s="236"/>
      <c r="Y590" s="236"/>
      <c r="Z590" s="236"/>
      <c r="AA590" s="236"/>
      <c r="AB590" s="236"/>
      <c r="AC590" s="236"/>
      <c r="AD590" s="236"/>
      <c r="AE590" s="236"/>
    </row>
    <row r="591" spans="1:31" x14ac:dyDescent="0.2">
      <c r="A591" s="227"/>
      <c r="B591" s="227"/>
      <c r="C591" s="228" t="s">
        <v>407</v>
      </c>
      <c r="D591" s="229" t="s">
        <v>408</v>
      </c>
      <c r="E591" s="230" t="s">
        <v>933</v>
      </c>
      <c r="F591" s="231">
        <v>117.6</v>
      </c>
      <c r="G591" s="232">
        <f t="shared" si="220"/>
        <v>0.21641914646938662</v>
      </c>
      <c r="H591" s="233">
        <v>527.63</v>
      </c>
      <c r="I591" s="234">
        <f t="shared" ref="I591:I597" si="254">K591</f>
        <v>637</v>
      </c>
      <c r="J591" s="936">
        <f t="shared" si="221"/>
        <v>1.1722703767091776</v>
      </c>
      <c r="K591" s="241">
        <f t="shared" ref="K591:K596" si="255">L591+S591+T591</f>
        <v>637</v>
      </c>
      <c r="L591" s="236">
        <f t="shared" si="252"/>
        <v>637</v>
      </c>
      <c r="M591" s="236"/>
      <c r="N591" s="236"/>
      <c r="O591" s="236"/>
      <c r="P591" s="236">
        <v>637</v>
      </c>
      <c r="Q591" s="236"/>
      <c r="R591" s="236"/>
      <c r="S591" s="236"/>
      <c r="T591" s="236">
        <f t="shared" si="253"/>
        <v>0</v>
      </c>
      <c r="U591" s="236"/>
      <c r="V591" s="236"/>
      <c r="W591" s="236"/>
      <c r="X591" s="236"/>
      <c r="Y591" s="236"/>
      <c r="Z591" s="236"/>
      <c r="AA591" s="236"/>
      <c r="AB591" s="236"/>
      <c r="AC591" s="236"/>
      <c r="AD591" s="236"/>
      <c r="AE591" s="236"/>
    </row>
    <row r="592" spans="1:31" x14ac:dyDescent="0.2">
      <c r="A592" s="227"/>
      <c r="B592" s="227"/>
      <c r="C592" s="228" t="s">
        <v>420</v>
      </c>
      <c r="D592" s="229" t="s">
        <v>421</v>
      </c>
      <c r="E592" s="230" t="s">
        <v>934</v>
      </c>
      <c r="F592" s="231">
        <v>15861.94</v>
      </c>
      <c r="G592" s="232">
        <f t="shared" si="220"/>
        <v>0.71517348500731537</v>
      </c>
      <c r="H592" s="233">
        <v>21536</v>
      </c>
      <c r="I592" s="234">
        <f t="shared" si="254"/>
        <v>26000</v>
      </c>
      <c r="J592" s="936">
        <f t="shared" si="221"/>
        <v>1.1722721565073504</v>
      </c>
      <c r="K592" s="241">
        <f t="shared" si="255"/>
        <v>26000</v>
      </c>
      <c r="L592" s="236">
        <f t="shared" si="252"/>
        <v>26000</v>
      </c>
      <c r="M592" s="236"/>
      <c r="N592" s="236"/>
      <c r="O592" s="236"/>
      <c r="P592" s="236">
        <v>26000</v>
      </c>
      <c r="Q592" s="236"/>
      <c r="R592" s="236"/>
      <c r="S592" s="236"/>
      <c r="T592" s="236">
        <f t="shared" si="253"/>
        <v>0</v>
      </c>
      <c r="U592" s="236"/>
      <c r="V592" s="236"/>
      <c r="W592" s="236"/>
      <c r="X592" s="236"/>
      <c r="Y592" s="236"/>
      <c r="Z592" s="236"/>
      <c r="AA592" s="236"/>
      <c r="AB592" s="236"/>
      <c r="AC592" s="236"/>
      <c r="AD592" s="236"/>
      <c r="AE592" s="236"/>
    </row>
    <row r="593" spans="1:31" x14ac:dyDescent="0.2">
      <c r="A593" s="227"/>
      <c r="B593" s="227"/>
      <c r="C593" s="228" t="s">
        <v>410</v>
      </c>
      <c r="D593" s="229" t="s">
        <v>411</v>
      </c>
      <c r="E593" s="230" t="s">
        <v>400</v>
      </c>
      <c r="F593" s="231">
        <v>4160.82</v>
      </c>
      <c r="G593" s="232">
        <f t="shared" si="220"/>
        <v>0.24475411764705882</v>
      </c>
      <c r="H593" s="233">
        <v>17000</v>
      </c>
      <c r="I593" s="234">
        <f t="shared" si="254"/>
        <v>73000</v>
      </c>
      <c r="J593" s="936">
        <f t="shared" si="221"/>
        <v>4.2941176470588234</v>
      </c>
      <c r="K593" s="241">
        <f t="shared" si="255"/>
        <v>73000</v>
      </c>
      <c r="L593" s="236">
        <f t="shared" si="252"/>
        <v>73000</v>
      </c>
      <c r="M593" s="236">
        <v>50000</v>
      </c>
      <c r="N593" s="236">
        <v>23000</v>
      </c>
      <c r="O593" s="236"/>
      <c r="P593" s="236"/>
      <c r="Q593" s="236"/>
      <c r="R593" s="236"/>
      <c r="S593" s="236"/>
      <c r="T593" s="236">
        <f t="shared" si="253"/>
        <v>0</v>
      </c>
      <c r="U593" s="236"/>
      <c r="V593" s="236"/>
      <c r="W593" s="236"/>
      <c r="X593" s="236"/>
      <c r="Y593" s="236"/>
      <c r="Z593" s="236"/>
      <c r="AA593" s="236"/>
      <c r="AB593" s="236"/>
      <c r="AC593" s="236"/>
      <c r="AD593" s="236"/>
      <c r="AE593" s="236"/>
    </row>
    <row r="594" spans="1:31" x14ac:dyDescent="0.2">
      <c r="A594" s="227"/>
      <c r="B594" s="227"/>
      <c r="C594" s="228" t="s">
        <v>424</v>
      </c>
      <c r="D594" s="229" t="s">
        <v>425</v>
      </c>
      <c r="E594" s="230" t="s">
        <v>935</v>
      </c>
      <c r="F594" s="231">
        <v>122346.82</v>
      </c>
      <c r="G594" s="232">
        <f t="shared" si="220"/>
        <v>0.7326156886227545</v>
      </c>
      <c r="H594" s="233">
        <v>167000</v>
      </c>
      <c r="I594" s="234">
        <f t="shared" si="254"/>
        <v>180000</v>
      </c>
      <c r="J594" s="936">
        <f t="shared" si="221"/>
        <v>1.0778443113772456</v>
      </c>
      <c r="K594" s="241">
        <f t="shared" si="255"/>
        <v>180000</v>
      </c>
      <c r="L594" s="236">
        <f t="shared" si="252"/>
        <v>180000</v>
      </c>
      <c r="M594" s="236"/>
      <c r="N594" s="236">
        <v>180000</v>
      </c>
      <c r="O594" s="236"/>
      <c r="P594" s="236"/>
      <c r="Q594" s="236"/>
      <c r="R594" s="236"/>
      <c r="S594" s="236"/>
      <c r="T594" s="236">
        <f t="shared" si="253"/>
        <v>0</v>
      </c>
      <c r="U594" s="236"/>
      <c r="V594" s="236"/>
      <c r="W594" s="236"/>
      <c r="X594" s="236"/>
      <c r="Y594" s="236"/>
      <c r="Z594" s="236"/>
      <c r="AA594" s="236"/>
      <c r="AB594" s="236"/>
      <c r="AC594" s="236"/>
      <c r="AD594" s="236"/>
      <c r="AE594" s="236"/>
    </row>
    <row r="595" spans="1:31" x14ac:dyDescent="0.2">
      <c r="A595" s="227"/>
      <c r="B595" s="227"/>
      <c r="C595" s="228" t="s">
        <v>438</v>
      </c>
      <c r="D595" s="229" t="s">
        <v>439</v>
      </c>
      <c r="E595" s="230">
        <v>0</v>
      </c>
      <c r="F595" s="231">
        <v>0</v>
      </c>
      <c r="G595" s="232">
        <v>0</v>
      </c>
      <c r="H595" s="233">
        <v>0</v>
      </c>
      <c r="I595" s="234">
        <f t="shared" si="254"/>
        <v>64000</v>
      </c>
      <c r="J595" s="936">
        <v>0</v>
      </c>
      <c r="K595" s="241">
        <f t="shared" si="255"/>
        <v>64000</v>
      </c>
      <c r="L595" s="236">
        <f t="shared" si="252"/>
        <v>64000</v>
      </c>
      <c r="M595" s="236"/>
      <c r="N595" s="236">
        <v>64000</v>
      </c>
      <c r="O595" s="236"/>
      <c r="P595" s="236"/>
      <c r="Q595" s="236"/>
      <c r="R595" s="236"/>
      <c r="S595" s="236"/>
      <c r="T595" s="236"/>
      <c r="U595" s="236"/>
      <c r="V595" s="236"/>
      <c r="W595" s="236"/>
      <c r="X595" s="236"/>
      <c r="Y595" s="236"/>
      <c r="Z595" s="236"/>
      <c r="AA595" s="236"/>
      <c r="AB595" s="236"/>
      <c r="AC595" s="236"/>
      <c r="AD595" s="236"/>
      <c r="AE595" s="236"/>
    </row>
    <row r="596" spans="1:31" x14ac:dyDescent="0.2">
      <c r="A596" s="227"/>
      <c r="B596" s="227"/>
      <c r="C596" s="228" t="s">
        <v>413</v>
      </c>
      <c r="D596" s="229" t="s">
        <v>414</v>
      </c>
      <c r="E596" s="230" t="s">
        <v>536</v>
      </c>
      <c r="F596" s="231">
        <v>15099.53</v>
      </c>
      <c r="G596" s="232">
        <f t="shared" si="220"/>
        <v>0.53926892857142861</v>
      </c>
      <c r="H596" s="233">
        <v>28000</v>
      </c>
      <c r="I596" s="234">
        <f t="shared" si="254"/>
        <v>28000</v>
      </c>
      <c r="J596" s="936">
        <f t="shared" si="221"/>
        <v>1</v>
      </c>
      <c r="K596" s="241">
        <f t="shared" si="255"/>
        <v>28000</v>
      </c>
      <c r="L596" s="236">
        <f t="shared" si="252"/>
        <v>28000</v>
      </c>
      <c r="M596" s="236"/>
      <c r="N596" s="236">
        <v>28000</v>
      </c>
      <c r="O596" s="236"/>
      <c r="P596" s="236"/>
      <c r="Q596" s="236"/>
      <c r="R596" s="236"/>
      <c r="S596" s="236"/>
      <c r="T596" s="236">
        <f t="shared" si="253"/>
        <v>0</v>
      </c>
      <c r="U596" s="236"/>
      <c r="V596" s="236"/>
      <c r="W596" s="236"/>
      <c r="X596" s="236"/>
      <c r="Y596" s="236"/>
      <c r="Z596" s="236"/>
      <c r="AA596" s="236"/>
      <c r="AB596" s="236"/>
      <c r="AC596" s="236"/>
      <c r="AD596" s="236"/>
      <c r="AE596" s="236"/>
    </row>
    <row r="597" spans="1:31" x14ac:dyDescent="0.2">
      <c r="A597" s="227"/>
      <c r="B597" s="227"/>
      <c r="C597" s="228" t="s">
        <v>451</v>
      </c>
      <c r="D597" s="229" t="s">
        <v>452</v>
      </c>
      <c r="E597" s="230">
        <v>0</v>
      </c>
      <c r="F597" s="257">
        <v>0</v>
      </c>
      <c r="G597" s="232">
        <v>0</v>
      </c>
      <c r="H597" s="257">
        <v>0</v>
      </c>
      <c r="I597" s="234">
        <f t="shared" si="254"/>
        <v>2880</v>
      </c>
      <c r="J597" s="936">
        <v>0</v>
      </c>
      <c r="K597" s="241">
        <f>L597+S597+T597</f>
        <v>2880</v>
      </c>
      <c r="L597" s="236">
        <f t="shared" si="252"/>
        <v>2880</v>
      </c>
      <c r="M597" s="236"/>
      <c r="N597" s="236">
        <v>2880</v>
      </c>
      <c r="O597" s="236"/>
      <c r="P597" s="236"/>
      <c r="Q597" s="236"/>
      <c r="R597" s="236"/>
      <c r="S597" s="236"/>
      <c r="T597" s="236"/>
      <c r="U597" s="236"/>
      <c r="V597" s="236"/>
      <c r="W597" s="236"/>
      <c r="X597" s="236"/>
      <c r="Y597" s="236"/>
      <c r="Z597" s="236"/>
      <c r="AA597" s="236"/>
      <c r="AB597" s="236"/>
      <c r="AC597" s="236"/>
      <c r="AD597" s="236"/>
      <c r="AE597" s="236"/>
    </row>
    <row r="598" spans="1:31" x14ac:dyDescent="0.2">
      <c r="A598" s="213" t="s">
        <v>355</v>
      </c>
      <c r="B598" s="213"/>
      <c r="C598" s="213"/>
      <c r="D598" s="214" t="s">
        <v>356</v>
      </c>
      <c r="E598" s="215">
        <f>E599+E605+E616+E619+E625+E627+E631</f>
        <v>11217209.189999999</v>
      </c>
      <c r="F598" s="273">
        <f t="shared" ref="F598:AE598" si="256">F599+F605+F616+F619+F625+F627+F631</f>
        <v>10420448.379999999</v>
      </c>
      <c r="G598" s="246">
        <f t="shared" si="220"/>
        <v>0.9289697823670523</v>
      </c>
      <c r="H598" s="273">
        <f t="shared" si="256"/>
        <v>11200031.410000002</v>
      </c>
      <c r="I598" s="274">
        <f t="shared" si="256"/>
        <v>2967119.16</v>
      </c>
      <c r="J598" s="938">
        <f t="shared" si="221"/>
        <v>0.26451491719037828</v>
      </c>
      <c r="K598" s="924">
        <f t="shared" si="256"/>
        <v>2967119.16</v>
      </c>
      <c r="L598" s="312">
        <f t="shared" si="256"/>
        <v>2967119.16</v>
      </c>
      <c r="M598" s="312">
        <f t="shared" si="256"/>
        <v>0</v>
      </c>
      <c r="N598" s="312">
        <f t="shared" si="256"/>
        <v>128600</v>
      </c>
      <c r="O598" s="312">
        <f t="shared" si="256"/>
        <v>0</v>
      </c>
      <c r="P598" s="312">
        <f t="shared" si="256"/>
        <v>2637303</v>
      </c>
      <c r="Q598" s="312">
        <f t="shared" si="256"/>
        <v>0</v>
      </c>
      <c r="R598" s="329">
        <f>R599+R605+R616+R619+R625+R627+R631</f>
        <v>201216.16</v>
      </c>
      <c r="S598" s="312">
        <f t="shared" si="256"/>
        <v>0</v>
      </c>
      <c r="T598" s="312">
        <f t="shared" si="256"/>
        <v>0</v>
      </c>
      <c r="U598" s="312">
        <f t="shared" si="256"/>
        <v>0</v>
      </c>
      <c r="V598" s="312">
        <f t="shared" si="256"/>
        <v>0</v>
      </c>
      <c r="W598" s="312">
        <f t="shared" si="256"/>
        <v>0</v>
      </c>
      <c r="X598" s="312">
        <f t="shared" si="256"/>
        <v>0</v>
      </c>
      <c r="Y598" s="312">
        <f t="shared" si="256"/>
        <v>0</v>
      </c>
      <c r="Z598" s="312">
        <f t="shared" si="256"/>
        <v>0</v>
      </c>
      <c r="AA598" s="312">
        <f t="shared" si="256"/>
        <v>0</v>
      </c>
      <c r="AB598" s="312">
        <f t="shared" si="256"/>
        <v>0</v>
      </c>
      <c r="AC598" s="312">
        <f t="shared" si="256"/>
        <v>0</v>
      </c>
      <c r="AD598" s="312">
        <f t="shared" si="256"/>
        <v>0</v>
      </c>
      <c r="AE598" s="312">
        <f t="shared" si="256"/>
        <v>0</v>
      </c>
    </row>
    <row r="599" spans="1:31" ht="15" x14ac:dyDescent="0.2">
      <c r="A599" s="219"/>
      <c r="B599" s="220" t="s">
        <v>936</v>
      </c>
      <c r="C599" s="221"/>
      <c r="D599" s="222" t="s">
        <v>937</v>
      </c>
      <c r="E599" s="223">
        <f>E600+E601+E602+E603+E604</f>
        <v>43746</v>
      </c>
      <c r="F599" s="239">
        <f t="shared" ref="F599:AE599" si="257">F600+F601+F602+F603+F604</f>
        <v>10719.67</v>
      </c>
      <c r="G599" s="238">
        <f t="shared" si="220"/>
        <v>0.24504343254240388</v>
      </c>
      <c r="H599" s="239">
        <f t="shared" si="257"/>
        <v>32869.279999999999</v>
      </c>
      <c r="I599" s="240">
        <f t="shared" si="257"/>
        <v>31000</v>
      </c>
      <c r="J599" s="937">
        <f t="shared" si="221"/>
        <v>0.70863621816851829</v>
      </c>
      <c r="K599" s="925">
        <f t="shared" si="257"/>
        <v>31000</v>
      </c>
      <c r="L599" s="223">
        <f t="shared" si="257"/>
        <v>31000</v>
      </c>
      <c r="M599" s="223">
        <f t="shared" si="257"/>
        <v>0</v>
      </c>
      <c r="N599" s="223">
        <f t="shared" si="257"/>
        <v>9000</v>
      </c>
      <c r="O599" s="223">
        <f t="shared" si="257"/>
        <v>0</v>
      </c>
      <c r="P599" s="223">
        <f t="shared" si="257"/>
        <v>21000</v>
      </c>
      <c r="Q599" s="223">
        <f t="shared" si="257"/>
        <v>0</v>
      </c>
      <c r="R599" s="226">
        <f>R600+R601+R602+R603+R604</f>
        <v>1000</v>
      </c>
      <c r="S599" s="223">
        <f t="shared" si="257"/>
        <v>0</v>
      </c>
      <c r="T599" s="223">
        <f t="shared" si="257"/>
        <v>0</v>
      </c>
      <c r="U599" s="223">
        <f t="shared" si="257"/>
        <v>0</v>
      </c>
      <c r="V599" s="223">
        <f t="shared" si="257"/>
        <v>0</v>
      </c>
      <c r="W599" s="223">
        <f t="shared" si="257"/>
        <v>0</v>
      </c>
      <c r="X599" s="223">
        <f t="shared" si="257"/>
        <v>0</v>
      </c>
      <c r="Y599" s="223">
        <f t="shared" si="257"/>
        <v>0</v>
      </c>
      <c r="Z599" s="223">
        <f t="shared" si="257"/>
        <v>0</v>
      </c>
      <c r="AA599" s="223">
        <f t="shared" si="257"/>
        <v>0</v>
      </c>
      <c r="AB599" s="223">
        <f t="shared" si="257"/>
        <v>0</v>
      </c>
      <c r="AC599" s="223">
        <f t="shared" si="257"/>
        <v>0</v>
      </c>
      <c r="AD599" s="223">
        <f t="shared" si="257"/>
        <v>0</v>
      </c>
      <c r="AE599" s="223">
        <f t="shared" si="257"/>
        <v>0</v>
      </c>
    </row>
    <row r="600" spans="1:31" ht="56.25" x14ac:dyDescent="0.2">
      <c r="A600" s="227"/>
      <c r="B600" s="227"/>
      <c r="C600" s="228" t="s">
        <v>109</v>
      </c>
      <c r="D600" s="229" t="s">
        <v>595</v>
      </c>
      <c r="E600" s="230" t="s">
        <v>938</v>
      </c>
      <c r="F600" s="231">
        <v>6523.28</v>
      </c>
      <c r="G600" s="232">
        <f t="shared" si="220"/>
        <v>0.77658095238095237</v>
      </c>
      <c r="H600" s="233">
        <f>6523.28+500+500</f>
        <v>7523.28</v>
      </c>
      <c r="I600" s="234">
        <f>K600</f>
        <v>9000</v>
      </c>
      <c r="J600" s="936">
        <f t="shared" si="221"/>
        <v>1.0714285714285714</v>
      </c>
      <c r="K600" s="241">
        <f>L600+S600+T600</f>
        <v>9000</v>
      </c>
      <c r="L600" s="236">
        <f>SUM(M600:R600)</f>
        <v>9000</v>
      </c>
      <c r="M600" s="236"/>
      <c r="N600" s="236">
        <v>9000</v>
      </c>
      <c r="O600" s="236"/>
      <c r="P600" s="236"/>
      <c r="Q600" s="236"/>
      <c r="R600" s="236"/>
      <c r="S600" s="236"/>
      <c r="T600" s="236">
        <f>SUM(U600:AD600)</f>
        <v>0</v>
      </c>
      <c r="U600" s="236"/>
      <c r="V600" s="236"/>
      <c r="W600" s="236"/>
      <c r="X600" s="236"/>
      <c r="Y600" s="236"/>
      <c r="Z600" s="236"/>
      <c r="AA600" s="236"/>
      <c r="AB600" s="236"/>
      <c r="AC600" s="236"/>
      <c r="AD600" s="236"/>
      <c r="AE600" s="236"/>
    </row>
    <row r="601" spans="1:31" x14ac:dyDescent="0.2">
      <c r="A601" s="227"/>
      <c r="B601" s="227"/>
      <c r="C601" s="228" t="s">
        <v>404</v>
      </c>
      <c r="D601" s="229" t="s">
        <v>405</v>
      </c>
      <c r="E601" s="230" t="s">
        <v>939</v>
      </c>
      <c r="F601" s="231">
        <v>0</v>
      </c>
      <c r="G601" s="232">
        <f t="shared" si="220"/>
        <v>0</v>
      </c>
      <c r="H601" s="233">
        <v>638</v>
      </c>
      <c r="I601" s="234">
        <f t="shared" ref="I601:I604" si="258">K601</f>
        <v>0</v>
      </c>
      <c r="J601" s="936">
        <f t="shared" si="221"/>
        <v>0</v>
      </c>
      <c r="K601" s="241">
        <f t="shared" ref="K601:K604" si="259">L601+S601+T601</f>
        <v>0</v>
      </c>
      <c r="L601" s="236">
        <f>SUM(M601:R601)</f>
        <v>0</v>
      </c>
      <c r="M601" s="236"/>
      <c r="N601" s="236"/>
      <c r="O601" s="236"/>
      <c r="P601" s="236"/>
      <c r="Q601" s="236"/>
      <c r="R601" s="236"/>
      <c r="S601" s="236"/>
      <c r="T601" s="236">
        <f>SUM(U601:AD601)</f>
        <v>0</v>
      </c>
      <c r="U601" s="236"/>
      <c r="V601" s="236"/>
      <c r="W601" s="236"/>
      <c r="X601" s="236"/>
      <c r="Y601" s="236"/>
      <c r="Z601" s="236"/>
      <c r="AA601" s="236"/>
      <c r="AB601" s="236"/>
      <c r="AC601" s="236"/>
      <c r="AD601" s="236"/>
      <c r="AE601" s="236"/>
    </row>
    <row r="602" spans="1:31" x14ac:dyDescent="0.2">
      <c r="A602" s="227"/>
      <c r="B602" s="227"/>
      <c r="C602" s="228" t="s">
        <v>420</v>
      </c>
      <c r="D602" s="229" t="s">
        <v>421</v>
      </c>
      <c r="E602" s="230" t="s">
        <v>940</v>
      </c>
      <c r="F602" s="231">
        <v>0</v>
      </c>
      <c r="G602" s="232">
        <f t="shared" si="220"/>
        <v>0</v>
      </c>
      <c r="H602" s="233">
        <v>4708</v>
      </c>
      <c r="I602" s="234">
        <f t="shared" si="258"/>
        <v>1000</v>
      </c>
      <c r="J602" s="936">
        <f t="shared" si="221"/>
        <v>0.21240441801189464</v>
      </c>
      <c r="K602" s="241">
        <f t="shared" si="259"/>
        <v>1000</v>
      </c>
      <c r="L602" s="236">
        <f>SUM(M602:R602)</f>
        <v>1000</v>
      </c>
      <c r="M602" s="236"/>
      <c r="N602" s="236"/>
      <c r="O602" s="236"/>
      <c r="P602" s="236">
        <v>1000</v>
      </c>
      <c r="Q602" s="236"/>
      <c r="R602" s="236"/>
      <c r="S602" s="236"/>
      <c r="T602" s="236">
        <f>SUM(U602:AD602)</f>
        <v>0</v>
      </c>
      <c r="U602" s="236"/>
      <c r="V602" s="236"/>
      <c r="W602" s="236"/>
      <c r="X602" s="236"/>
      <c r="Y602" s="236"/>
      <c r="Z602" s="236"/>
      <c r="AA602" s="236"/>
      <c r="AB602" s="236"/>
      <c r="AC602" s="236"/>
      <c r="AD602" s="236"/>
      <c r="AE602" s="236"/>
    </row>
    <row r="603" spans="1:31" x14ac:dyDescent="0.2">
      <c r="A603" s="227"/>
      <c r="B603" s="227"/>
      <c r="C603" s="228" t="s">
        <v>410</v>
      </c>
      <c r="D603" s="229" t="s">
        <v>411</v>
      </c>
      <c r="E603" s="230" t="s">
        <v>559</v>
      </c>
      <c r="F603" s="231">
        <v>638.39</v>
      </c>
      <c r="G603" s="232">
        <f t="shared" ref="G603:G656" si="260">F603/E603</f>
        <v>4.2559333333333331E-2</v>
      </c>
      <c r="H603" s="233">
        <v>10000</v>
      </c>
      <c r="I603" s="234">
        <f t="shared" si="258"/>
        <v>10500</v>
      </c>
      <c r="J603" s="936">
        <f t="shared" ref="J603:J656" si="261">I603/E603</f>
        <v>0.7</v>
      </c>
      <c r="K603" s="241">
        <f t="shared" si="259"/>
        <v>10500</v>
      </c>
      <c r="L603" s="236">
        <f>SUM(M603:R603)</f>
        <v>10500</v>
      </c>
      <c r="M603" s="236"/>
      <c r="N603" s="236"/>
      <c r="O603" s="236"/>
      <c r="P603" s="236">
        <v>10000</v>
      </c>
      <c r="Q603" s="236"/>
      <c r="R603" s="236">
        <v>500</v>
      </c>
      <c r="S603" s="236"/>
      <c r="T603" s="236">
        <f>SUM(U603:AD603)</f>
        <v>0</v>
      </c>
      <c r="U603" s="236"/>
      <c r="V603" s="236"/>
      <c r="W603" s="236"/>
      <c r="X603" s="236"/>
      <c r="Y603" s="236"/>
      <c r="Z603" s="236"/>
      <c r="AA603" s="236"/>
      <c r="AB603" s="236"/>
      <c r="AC603" s="236"/>
      <c r="AD603" s="236"/>
      <c r="AE603" s="236"/>
    </row>
    <row r="604" spans="1:31" x14ac:dyDescent="0.2">
      <c r="A604" s="227"/>
      <c r="B604" s="227"/>
      <c r="C604" s="228" t="s">
        <v>413</v>
      </c>
      <c r="D604" s="229" t="s">
        <v>414</v>
      </c>
      <c r="E604" s="230" t="s">
        <v>559</v>
      </c>
      <c r="F604" s="231">
        <v>3558</v>
      </c>
      <c r="G604" s="232">
        <f t="shared" si="260"/>
        <v>0.23719999999999999</v>
      </c>
      <c r="H604" s="233">
        <v>10000</v>
      </c>
      <c r="I604" s="234">
        <f t="shared" si="258"/>
        <v>10500</v>
      </c>
      <c r="J604" s="936">
        <f t="shared" si="261"/>
        <v>0.7</v>
      </c>
      <c r="K604" s="241">
        <f t="shared" si="259"/>
        <v>10500</v>
      </c>
      <c r="L604" s="236">
        <f>SUM(M604:R604)</f>
        <v>10500</v>
      </c>
      <c r="M604" s="236"/>
      <c r="N604" s="236"/>
      <c r="O604" s="236"/>
      <c r="P604" s="236">
        <v>10000</v>
      </c>
      <c r="Q604" s="236"/>
      <c r="R604" s="236">
        <v>500</v>
      </c>
      <c r="S604" s="236"/>
      <c r="T604" s="236">
        <f>SUM(U604:AD604)</f>
        <v>0</v>
      </c>
      <c r="U604" s="236"/>
      <c r="V604" s="236"/>
      <c r="W604" s="236"/>
      <c r="X604" s="236"/>
      <c r="Y604" s="236"/>
      <c r="Z604" s="236"/>
      <c r="AA604" s="236"/>
      <c r="AB604" s="236"/>
      <c r="AC604" s="236"/>
      <c r="AD604" s="236"/>
      <c r="AE604" s="236"/>
    </row>
    <row r="605" spans="1:31" ht="15" x14ac:dyDescent="0.2">
      <c r="A605" s="219"/>
      <c r="B605" s="220" t="s">
        <v>357</v>
      </c>
      <c r="C605" s="221"/>
      <c r="D605" s="222" t="s">
        <v>358</v>
      </c>
      <c r="E605" s="223">
        <f>E606+E607+E608+E609+E610+E611+E612+E613+E614+E615</f>
        <v>1669520.6300000001</v>
      </c>
      <c r="F605" s="239">
        <f t="shared" ref="F605:AE605" si="262">F606+F607+F608+F609+F610+F611+F612+F613+F614+F615</f>
        <v>1257063.94</v>
      </c>
      <c r="G605" s="238">
        <f t="shared" si="260"/>
        <v>0.75294903064480245</v>
      </c>
      <c r="H605" s="239">
        <f t="shared" si="262"/>
        <v>1669520.6300000001</v>
      </c>
      <c r="I605" s="240">
        <f t="shared" si="262"/>
        <v>1745219.58</v>
      </c>
      <c r="J605" s="937">
        <f t="shared" si="261"/>
        <v>1.0453417278227943</v>
      </c>
      <c r="K605" s="925">
        <f t="shared" si="262"/>
        <v>1745219.58</v>
      </c>
      <c r="L605" s="223">
        <f t="shared" si="262"/>
        <v>1745219.58</v>
      </c>
      <c r="M605" s="223">
        <f t="shared" si="262"/>
        <v>0</v>
      </c>
      <c r="N605" s="223">
        <f t="shared" si="262"/>
        <v>110000</v>
      </c>
      <c r="O605" s="223">
        <f t="shared" si="262"/>
        <v>0</v>
      </c>
      <c r="P605" s="223">
        <f t="shared" si="262"/>
        <v>1524971</v>
      </c>
      <c r="Q605" s="223">
        <f t="shared" si="262"/>
        <v>0</v>
      </c>
      <c r="R605" s="226">
        <f>R606+R607+R608+R609+R610+R611+R612+R613+R614+R615</f>
        <v>110248.58</v>
      </c>
      <c r="S605" s="223">
        <f t="shared" si="262"/>
        <v>0</v>
      </c>
      <c r="T605" s="223">
        <f t="shared" si="262"/>
        <v>0</v>
      </c>
      <c r="U605" s="223">
        <f t="shared" si="262"/>
        <v>0</v>
      </c>
      <c r="V605" s="223">
        <f t="shared" si="262"/>
        <v>0</v>
      </c>
      <c r="W605" s="223">
        <f t="shared" si="262"/>
        <v>0</v>
      </c>
      <c r="X605" s="223">
        <f t="shared" si="262"/>
        <v>0</v>
      </c>
      <c r="Y605" s="223">
        <f t="shared" si="262"/>
        <v>0</v>
      </c>
      <c r="Z605" s="223">
        <f t="shared" si="262"/>
        <v>0</v>
      </c>
      <c r="AA605" s="223">
        <f t="shared" si="262"/>
        <v>0</v>
      </c>
      <c r="AB605" s="223">
        <f t="shared" si="262"/>
        <v>0</v>
      </c>
      <c r="AC605" s="223">
        <f t="shared" si="262"/>
        <v>0</v>
      </c>
      <c r="AD605" s="223">
        <f t="shared" si="262"/>
        <v>0</v>
      </c>
      <c r="AE605" s="223">
        <f t="shared" si="262"/>
        <v>0</v>
      </c>
    </row>
    <row r="606" spans="1:31" ht="22.5" x14ac:dyDescent="0.2">
      <c r="A606" s="227"/>
      <c r="B606" s="227"/>
      <c r="C606" s="228" t="s">
        <v>941</v>
      </c>
      <c r="D606" s="229" t="s">
        <v>942</v>
      </c>
      <c r="E606" s="230" t="s">
        <v>943</v>
      </c>
      <c r="F606" s="231">
        <v>1164000</v>
      </c>
      <c r="G606" s="232">
        <f t="shared" si="260"/>
        <v>0.80707228289131561</v>
      </c>
      <c r="H606" s="230" t="s">
        <v>943</v>
      </c>
      <c r="I606" s="234">
        <f>K606</f>
        <v>1524971</v>
      </c>
      <c r="J606" s="936">
        <f t="shared" si="261"/>
        <v>1.0573555208875021</v>
      </c>
      <c r="K606" s="241">
        <f>L606+S606+T606</f>
        <v>1524971</v>
      </c>
      <c r="L606" s="236">
        <f>SUM(M606:R606)</f>
        <v>1524971</v>
      </c>
      <c r="M606" s="236"/>
      <c r="N606" s="236"/>
      <c r="O606" s="236"/>
      <c r="P606" s="236">
        <v>1524971</v>
      </c>
      <c r="Q606" s="236"/>
      <c r="R606" s="236"/>
      <c r="S606" s="236"/>
      <c r="T606" s="236">
        <f>SUM(U606:AD606)</f>
        <v>0</v>
      </c>
      <c r="U606" s="236"/>
      <c r="V606" s="236"/>
      <c r="W606" s="236"/>
      <c r="X606" s="236"/>
      <c r="Y606" s="236"/>
      <c r="Z606" s="236"/>
      <c r="AA606" s="236"/>
      <c r="AB606" s="236"/>
      <c r="AC606" s="236"/>
      <c r="AD606" s="236"/>
      <c r="AE606" s="236"/>
    </row>
    <row r="607" spans="1:31" hidden="1" x14ac:dyDescent="0.2">
      <c r="A607" s="227"/>
      <c r="B607" s="227"/>
      <c r="C607" s="228" t="s">
        <v>404</v>
      </c>
      <c r="D607" s="229" t="s">
        <v>405</v>
      </c>
      <c r="E607" s="230" t="s">
        <v>39</v>
      </c>
      <c r="F607" s="231">
        <v>0</v>
      </c>
      <c r="G607" s="232">
        <v>0</v>
      </c>
      <c r="H607" s="230" t="s">
        <v>39</v>
      </c>
      <c r="I607" s="234">
        <f t="shared" ref="I607:I614" si="263">K607</f>
        <v>0</v>
      </c>
      <c r="J607" s="936">
        <v>0</v>
      </c>
      <c r="K607" s="241">
        <f t="shared" ref="K607:K615" si="264">L607+S607+T607</f>
        <v>0</v>
      </c>
      <c r="L607" s="236">
        <f t="shared" ref="L607:L615" si="265">SUM(M607:R607)</f>
        <v>0</v>
      </c>
      <c r="M607" s="236"/>
      <c r="N607" s="236"/>
      <c r="O607" s="236"/>
      <c r="P607" s="236"/>
      <c r="Q607" s="236"/>
      <c r="R607" s="236"/>
      <c r="S607" s="236"/>
      <c r="T607" s="236">
        <f t="shared" ref="T607:T615" si="266">SUM(U607:AD607)</f>
        <v>0</v>
      </c>
      <c r="U607" s="236"/>
      <c r="V607" s="236"/>
      <c r="W607" s="236"/>
      <c r="X607" s="236"/>
      <c r="Y607" s="236"/>
      <c r="Z607" s="236"/>
      <c r="AA607" s="236"/>
      <c r="AB607" s="236"/>
      <c r="AC607" s="236"/>
      <c r="AD607" s="236"/>
      <c r="AE607" s="236"/>
    </row>
    <row r="608" spans="1:31" hidden="1" x14ac:dyDescent="0.2">
      <c r="A608" s="227"/>
      <c r="B608" s="227"/>
      <c r="C608" s="228" t="s">
        <v>407</v>
      </c>
      <c r="D608" s="229" t="s">
        <v>408</v>
      </c>
      <c r="E608" s="230" t="s">
        <v>39</v>
      </c>
      <c r="F608" s="231">
        <v>0</v>
      </c>
      <c r="G608" s="232">
        <v>0</v>
      </c>
      <c r="H608" s="230" t="s">
        <v>39</v>
      </c>
      <c r="I608" s="234">
        <f t="shared" si="263"/>
        <v>0</v>
      </c>
      <c r="J608" s="936">
        <v>0</v>
      </c>
      <c r="K608" s="241">
        <f t="shared" si="264"/>
        <v>0</v>
      </c>
      <c r="L608" s="236">
        <f t="shared" si="265"/>
        <v>0</v>
      </c>
      <c r="M608" s="236"/>
      <c r="N608" s="236"/>
      <c r="O608" s="236"/>
      <c r="P608" s="236"/>
      <c r="Q608" s="236"/>
      <c r="R608" s="236"/>
      <c r="S608" s="236"/>
      <c r="T608" s="236">
        <f t="shared" si="266"/>
        <v>0</v>
      </c>
      <c r="U608" s="236"/>
      <c r="V608" s="236"/>
      <c r="W608" s="236"/>
      <c r="X608" s="236"/>
      <c r="Y608" s="236"/>
      <c r="Z608" s="236"/>
      <c r="AA608" s="236"/>
      <c r="AB608" s="236"/>
      <c r="AC608" s="236"/>
      <c r="AD608" s="236"/>
      <c r="AE608" s="236"/>
    </row>
    <row r="609" spans="1:31" x14ac:dyDescent="0.2">
      <c r="A609" s="227"/>
      <c r="B609" s="227"/>
      <c r="C609" s="228" t="s">
        <v>420</v>
      </c>
      <c r="D609" s="229" t="s">
        <v>421</v>
      </c>
      <c r="E609" s="230" t="s">
        <v>944</v>
      </c>
      <c r="F609" s="231">
        <v>3892</v>
      </c>
      <c r="G609" s="232">
        <f t="shared" si="260"/>
        <v>0.48108776266996289</v>
      </c>
      <c r="H609" s="230" t="s">
        <v>944</v>
      </c>
      <c r="I609" s="234">
        <f t="shared" si="263"/>
        <v>12000</v>
      </c>
      <c r="J609" s="936">
        <f t="shared" si="261"/>
        <v>1.4833127317676142</v>
      </c>
      <c r="K609" s="241">
        <f t="shared" si="264"/>
        <v>12000</v>
      </c>
      <c r="L609" s="236">
        <f t="shared" si="265"/>
        <v>12000</v>
      </c>
      <c r="M609" s="236"/>
      <c r="N609" s="236"/>
      <c r="O609" s="236"/>
      <c r="P609" s="236"/>
      <c r="Q609" s="236"/>
      <c r="R609" s="236">
        <v>12000</v>
      </c>
      <c r="S609" s="236"/>
      <c r="T609" s="236">
        <f t="shared" si="266"/>
        <v>0</v>
      </c>
      <c r="U609" s="236"/>
      <c r="V609" s="236"/>
      <c r="W609" s="236"/>
      <c r="X609" s="236"/>
      <c r="Y609" s="236"/>
      <c r="Z609" s="236"/>
      <c r="AA609" s="236"/>
      <c r="AB609" s="236"/>
      <c r="AC609" s="236"/>
      <c r="AD609" s="236"/>
      <c r="AE609" s="236"/>
    </row>
    <row r="610" spans="1:31" x14ac:dyDescent="0.2">
      <c r="A610" s="227"/>
      <c r="B610" s="227"/>
      <c r="C610" s="228" t="s">
        <v>410</v>
      </c>
      <c r="D610" s="229" t="s">
        <v>411</v>
      </c>
      <c r="E610" s="230" t="s">
        <v>945</v>
      </c>
      <c r="F610" s="231">
        <v>26072.54</v>
      </c>
      <c r="G610" s="232">
        <f t="shared" si="260"/>
        <v>0.41179582981648366</v>
      </c>
      <c r="H610" s="230" t="s">
        <v>945</v>
      </c>
      <c r="I610" s="234">
        <f t="shared" si="263"/>
        <v>50750.87</v>
      </c>
      <c r="J610" s="936">
        <f t="shared" si="261"/>
        <v>0.80157117893225927</v>
      </c>
      <c r="K610" s="241">
        <f t="shared" si="264"/>
        <v>50750.87</v>
      </c>
      <c r="L610" s="236">
        <f t="shared" si="265"/>
        <v>50750.87</v>
      </c>
      <c r="M610" s="236"/>
      <c r="N610" s="236">
        <v>10000</v>
      </c>
      <c r="O610" s="236"/>
      <c r="P610" s="236"/>
      <c r="Q610" s="236"/>
      <c r="R610" s="236">
        <v>40750.870000000003</v>
      </c>
      <c r="S610" s="236"/>
      <c r="T610" s="236">
        <f t="shared" si="266"/>
        <v>0</v>
      </c>
      <c r="U610" s="236"/>
      <c r="V610" s="236"/>
      <c r="W610" s="236"/>
      <c r="X610" s="236"/>
      <c r="Y610" s="236"/>
      <c r="Z610" s="236"/>
      <c r="AA610" s="236"/>
      <c r="AB610" s="236"/>
      <c r="AC610" s="236"/>
      <c r="AD610" s="236"/>
      <c r="AE610" s="236"/>
    </row>
    <row r="611" spans="1:31" x14ac:dyDescent="0.2">
      <c r="A611" s="227"/>
      <c r="B611" s="227"/>
      <c r="C611" s="228" t="s">
        <v>424</v>
      </c>
      <c r="D611" s="229" t="s">
        <v>425</v>
      </c>
      <c r="E611" s="230" t="s">
        <v>144</v>
      </c>
      <c r="F611" s="231">
        <v>38075.46</v>
      </c>
      <c r="G611" s="232">
        <f t="shared" si="260"/>
        <v>0.63459100000000002</v>
      </c>
      <c r="H611" s="230" t="s">
        <v>144</v>
      </c>
      <c r="I611" s="234">
        <f t="shared" si="263"/>
        <v>61000</v>
      </c>
      <c r="J611" s="936">
        <f t="shared" si="261"/>
        <v>1.0166666666666666</v>
      </c>
      <c r="K611" s="241">
        <f t="shared" si="264"/>
        <v>61000</v>
      </c>
      <c r="L611" s="236">
        <f t="shared" si="265"/>
        <v>61000</v>
      </c>
      <c r="M611" s="236"/>
      <c r="N611" s="236">
        <v>60000</v>
      </c>
      <c r="O611" s="236"/>
      <c r="P611" s="236"/>
      <c r="Q611" s="236"/>
      <c r="R611" s="236">
        <v>1000</v>
      </c>
      <c r="S611" s="236"/>
      <c r="T611" s="236">
        <f t="shared" si="266"/>
        <v>0</v>
      </c>
      <c r="U611" s="236"/>
      <c r="V611" s="236"/>
      <c r="W611" s="236"/>
      <c r="X611" s="236"/>
      <c r="Y611" s="236"/>
      <c r="Z611" s="236"/>
      <c r="AA611" s="236"/>
      <c r="AB611" s="236"/>
      <c r="AC611" s="236"/>
      <c r="AD611" s="236"/>
      <c r="AE611" s="236"/>
    </row>
    <row r="612" spans="1:31" x14ac:dyDescent="0.2">
      <c r="A612" s="227"/>
      <c r="B612" s="227"/>
      <c r="C612" s="228" t="s">
        <v>438</v>
      </c>
      <c r="D612" s="229" t="s">
        <v>439</v>
      </c>
      <c r="E612" s="230" t="s">
        <v>946</v>
      </c>
      <c r="F612" s="231">
        <v>7626</v>
      </c>
      <c r="G612" s="232">
        <f t="shared" si="260"/>
        <v>0.22764179104477611</v>
      </c>
      <c r="H612" s="230" t="s">
        <v>946</v>
      </c>
      <c r="I612" s="234">
        <f t="shared" si="263"/>
        <v>0</v>
      </c>
      <c r="J612" s="936">
        <f t="shared" si="261"/>
        <v>0</v>
      </c>
      <c r="K612" s="241">
        <f t="shared" si="264"/>
        <v>0</v>
      </c>
      <c r="L612" s="236">
        <f t="shared" si="265"/>
        <v>0</v>
      </c>
      <c r="M612" s="236"/>
      <c r="N612" s="236"/>
      <c r="O612" s="236"/>
      <c r="P612" s="236"/>
      <c r="Q612" s="236"/>
      <c r="R612" s="236"/>
      <c r="S612" s="236"/>
      <c r="T612" s="236">
        <f t="shared" si="266"/>
        <v>0</v>
      </c>
      <c r="U612" s="236"/>
      <c r="V612" s="236"/>
      <c r="W612" s="236"/>
      <c r="X612" s="236"/>
      <c r="Y612" s="236"/>
      <c r="Z612" s="236"/>
      <c r="AA612" s="236"/>
      <c r="AB612" s="236"/>
      <c r="AC612" s="236"/>
      <c r="AD612" s="236"/>
      <c r="AE612" s="236"/>
    </row>
    <row r="613" spans="1:31" x14ac:dyDescent="0.2">
      <c r="A613" s="227"/>
      <c r="B613" s="227"/>
      <c r="C613" s="228" t="s">
        <v>413</v>
      </c>
      <c r="D613" s="229" t="s">
        <v>414</v>
      </c>
      <c r="E613" s="230" t="s">
        <v>947</v>
      </c>
      <c r="F613" s="231">
        <v>16432.240000000002</v>
      </c>
      <c r="G613" s="232">
        <f t="shared" si="260"/>
        <v>0.38958750606943438</v>
      </c>
      <c r="H613" s="230" t="s">
        <v>947</v>
      </c>
      <c r="I613" s="234">
        <f t="shared" si="263"/>
        <v>95168.709999999992</v>
      </c>
      <c r="J613" s="936">
        <f t="shared" si="261"/>
        <v>2.2563290448986404</v>
      </c>
      <c r="K613" s="241">
        <f t="shared" si="264"/>
        <v>95168.709999999992</v>
      </c>
      <c r="L613" s="236">
        <f t="shared" si="265"/>
        <v>95168.709999999992</v>
      </c>
      <c r="M613" s="236"/>
      <c r="N613" s="236">
        <v>40000</v>
      </c>
      <c r="O613" s="236"/>
      <c r="P613" s="236"/>
      <c r="Q613" s="236"/>
      <c r="R613" s="236">
        <f>8000+47168.71</f>
        <v>55168.71</v>
      </c>
      <c r="S613" s="236"/>
      <c r="T613" s="236">
        <f t="shared" si="266"/>
        <v>0</v>
      </c>
      <c r="U613" s="236"/>
      <c r="V613" s="236"/>
      <c r="W613" s="236"/>
      <c r="X613" s="236"/>
      <c r="Y613" s="236"/>
      <c r="Z613" s="236"/>
      <c r="AA613" s="236"/>
      <c r="AB613" s="236"/>
      <c r="AC613" s="236"/>
      <c r="AD613" s="236"/>
      <c r="AE613" s="236"/>
    </row>
    <row r="614" spans="1:31" x14ac:dyDescent="0.2">
      <c r="A614" s="227"/>
      <c r="B614" s="227"/>
      <c r="C614" s="228" t="s">
        <v>451</v>
      </c>
      <c r="D614" s="229" t="s">
        <v>452</v>
      </c>
      <c r="E614" s="230" t="s">
        <v>948</v>
      </c>
      <c r="F614" s="231">
        <v>965.7</v>
      </c>
      <c r="G614" s="232">
        <f t="shared" si="260"/>
        <v>0.72663656884875849</v>
      </c>
      <c r="H614" s="230" t="s">
        <v>948</v>
      </c>
      <c r="I614" s="234">
        <f t="shared" si="263"/>
        <v>1329</v>
      </c>
      <c r="J614" s="936">
        <f t="shared" si="261"/>
        <v>1</v>
      </c>
      <c r="K614" s="241">
        <f t="shared" si="264"/>
        <v>1329</v>
      </c>
      <c r="L614" s="236">
        <f t="shared" si="265"/>
        <v>1329</v>
      </c>
      <c r="M614" s="236"/>
      <c r="N614" s="236"/>
      <c r="O614" s="236"/>
      <c r="P614" s="236"/>
      <c r="Q614" s="236"/>
      <c r="R614" s="236">
        <v>1329</v>
      </c>
      <c r="S614" s="236"/>
      <c r="T614" s="236">
        <f t="shared" si="266"/>
        <v>0</v>
      </c>
      <c r="U614" s="236"/>
      <c r="V614" s="236"/>
      <c r="W614" s="236"/>
      <c r="X614" s="236"/>
      <c r="Y614" s="236"/>
      <c r="Z614" s="236"/>
      <c r="AA614" s="236"/>
      <c r="AB614" s="236"/>
      <c r="AC614" s="236"/>
      <c r="AD614" s="236"/>
      <c r="AE614" s="236"/>
    </row>
    <row r="615" spans="1:31" x14ac:dyDescent="0.2">
      <c r="A615" s="227"/>
      <c r="B615" s="227"/>
      <c r="C615" s="228" t="s">
        <v>443</v>
      </c>
      <c r="D615" s="229" t="s">
        <v>444</v>
      </c>
      <c r="E615" s="230" t="s">
        <v>949</v>
      </c>
      <c r="F615" s="231">
        <v>0</v>
      </c>
      <c r="G615" s="232">
        <f t="shared" si="260"/>
        <v>0</v>
      </c>
      <c r="H615" s="230" t="s">
        <v>949</v>
      </c>
      <c r="I615" s="234">
        <f>K615</f>
        <v>0</v>
      </c>
      <c r="J615" s="936">
        <f t="shared" si="261"/>
        <v>0</v>
      </c>
      <c r="K615" s="241">
        <f t="shared" si="264"/>
        <v>0</v>
      </c>
      <c r="L615" s="236">
        <f t="shared" si="265"/>
        <v>0</v>
      </c>
      <c r="M615" s="236"/>
      <c r="N615" s="236"/>
      <c r="O615" s="236"/>
      <c r="P615" s="236"/>
      <c r="Q615" s="236"/>
      <c r="R615" s="236"/>
      <c r="S615" s="236"/>
      <c r="T615" s="236">
        <f t="shared" si="266"/>
        <v>0</v>
      </c>
      <c r="U615" s="236"/>
      <c r="V615" s="236"/>
      <c r="W615" s="236"/>
      <c r="X615" s="236"/>
      <c r="Y615" s="236"/>
      <c r="Z615" s="236"/>
      <c r="AA615" s="236"/>
      <c r="AB615" s="236"/>
      <c r="AC615" s="236"/>
      <c r="AD615" s="236"/>
      <c r="AE615" s="236"/>
    </row>
    <row r="616" spans="1:31" ht="15" x14ac:dyDescent="0.2">
      <c r="A616" s="219"/>
      <c r="B616" s="220" t="s">
        <v>950</v>
      </c>
      <c r="C616" s="221"/>
      <c r="D616" s="222" t="s">
        <v>951</v>
      </c>
      <c r="E616" s="223">
        <f>E617+E618</f>
        <v>412784.2</v>
      </c>
      <c r="F616" s="239">
        <f t="shared" ref="F616:AE616" si="267">F617+F618</f>
        <v>304500</v>
      </c>
      <c r="G616" s="238">
        <f t="shared" si="260"/>
        <v>0.7376735834365753</v>
      </c>
      <c r="H616" s="239">
        <f t="shared" si="267"/>
        <v>412784.2</v>
      </c>
      <c r="I616" s="240">
        <f t="shared" si="267"/>
        <v>411742</v>
      </c>
      <c r="J616" s="937">
        <f t="shared" si="261"/>
        <v>0.99747519406023777</v>
      </c>
      <c r="K616" s="925">
        <f t="shared" si="267"/>
        <v>411742</v>
      </c>
      <c r="L616" s="223">
        <f t="shared" si="267"/>
        <v>411742</v>
      </c>
      <c r="M616" s="223">
        <f t="shared" si="267"/>
        <v>0</v>
      </c>
      <c r="N616" s="223">
        <f t="shared" si="267"/>
        <v>0</v>
      </c>
      <c r="O616" s="223">
        <f t="shared" si="267"/>
        <v>0</v>
      </c>
      <c r="P616" s="223">
        <f t="shared" si="267"/>
        <v>411742</v>
      </c>
      <c r="Q616" s="223">
        <f t="shared" si="267"/>
        <v>0</v>
      </c>
      <c r="R616" s="226">
        <f>R617+R618</f>
        <v>0</v>
      </c>
      <c r="S616" s="223">
        <f t="shared" si="267"/>
        <v>0</v>
      </c>
      <c r="T616" s="223">
        <f t="shared" si="267"/>
        <v>0</v>
      </c>
      <c r="U616" s="223">
        <f t="shared" si="267"/>
        <v>0</v>
      </c>
      <c r="V616" s="223">
        <f t="shared" si="267"/>
        <v>0</v>
      </c>
      <c r="W616" s="223">
        <f t="shared" si="267"/>
        <v>0</v>
      </c>
      <c r="X616" s="223">
        <f t="shared" si="267"/>
        <v>0</v>
      </c>
      <c r="Y616" s="223">
        <f t="shared" si="267"/>
        <v>0</v>
      </c>
      <c r="Z616" s="223">
        <f t="shared" si="267"/>
        <v>0</v>
      </c>
      <c r="AA616" s="223">
        <f t="shared" si="267"/>
        <v>0</v>
      </c>
      <c r="AB616" s="223">
        <f t="shared" si="267"/>
        <v>0</v>
      </c>
      <c r="AC616" s="223">
        <f t="shared" si="267"/>
        <v>0</v>
      </c>
      <c r="AD616" s="223">
        <f t="shared" si="267"/>
        <v>0</v>
      </c>
      <c r="AE616" s="223">
        <f t="shared" si="267"/>
        <v>0</v>
      </c>
    </row>
    <row r="617" spans="1:31" ht="22.5" x14ac:dyDescent="0.2">
      <c r="A617" s="227"/>
      <c r="B617" s="227"/>
      <c r="C617" s="228" t="s">
        <v>941</v>
      </c>
      <c r="D617" s="229" t="s">
        <v>942</v>
      </c>
      <c r="E617" s="230" t="s">
        <v>952</v>
      </c>
      <c r="F617" s="231">
        <v>304500</v>
      </c>
      <c r="G617" s="232">
        <f t="shared" si="260"/>
        <v>0.73887143151790158</v>
      </c>
      <c r="H617" s="233">
        <v>412115</v>
      </c>
      <c r="I617" s="234">
        <f>K617</f>
        <v>411742</v>
      </c>
      <c r="J617" s="936">
        <f t="shared" si="261"/>
        <v>0.99909491282773011</v>
      </c>
      <c r="K617" s="241">
        <f>L617+S617+T617</f>
        <v>411742</v>
      </c>
      <c r="L617" s="236">
        <f>SUM(M617:R617)</f>
        <v>411742</v>
      </c>
      <c r="M617" s="236"/>
      <c r="N617" s="236"/>
      <c r="O617" s="236"/>
      <c r="P617" s="236">
        <v>411742</v>
      </c>
      <c r="Q617" s="236"/>
      <c r="R617" s="236"/>
      <c r="S617" s="236"/>
      <c r="T617" s="236">
        <f>SUM(U617:AD617)</f>
        <v>0</v>
      </c>
      <c r="U617" s="236"/>
      <c r="V617" s="236"/>
      <c r="W617" s="236"/>
      <c r="X617" s="236"/>
      <c r="Y617" s="236"/>
      <c r="Z617" s="236"/>
      <c r="AA617" s="236"/>
      <c r="AB617" s="236"/>
      <c r="AC617" s="236"/>
      <c r="AD617" s="236"/>
      <c r="AE617" s="236"/>
    </row>
    <row r="618" spans="1:31" x14ac:dyDescent="0.2">
      <c r="A618" s="227"/>
      <c r="B618" s="227"/>
      <c r="C618" s="228" t="s">
        <v>410</v>
      </c>
      <c r="D618" s="229" t="s">
        <v>411</v>
      </c>
      <c r="E618" s="230" t="s">
        <v>953</v>
      </c>
      <c r="F618" s="231">
        <v>0</v>
      </c>
      <c r="G618" s="232">
        <f t="shared" si="260"/>
        <v>0</v>
      </c>
      <c r="H618" s="233">
        <v>669.2</v>
      </c>
      <c r="I618" s="234">
        <f>K618</f>
        <v>0</v>
      </c>
      <c r="J618" s="936">
        <f t="shared" si="261"/>
        <v>0</v>
      </c>
      <c r="K618" s="241">
        <f>L618+S618+T618</f>
        <v>0</v>
      </c>
      <c r="L618" s="236">
        <f>SUM(M618:R618)</f>
        <v>0</v>
      </c>
      <c r="M618" s="236"/>
      <c r="N618" s="236"/>
      <c r="O618" s="236"/>
      <c r="P618" s="236"/>
      <c r="Q618" s="236"/>
      <c r="R618" s="236"/>
      <c r="S618" s="236"/>
      <c r="T618" s="236">
        <f>SUM(U618:AD618)</f>
        <v>0</v>
      </c>
      <c r="U618" s="236"/>
      <c r="V618" s="236"/>
      <c r="W618" s="236"/>
      <c r="X618" s="236"/>
      <c r="Y618" s="236"/>
      <c r="Z618" s="236"/>
      <c r="AA618" s="236"/>
      <c r="AB618" s="236"/>
      <c r="AC618" s="236"/>
      <c r="AD618" s="236"/>
      <c r="AE618" s="236"/>
    </row>
    <row r="619" spans="1:31" ht="15" x14ac:dyDescent="0.2">
      <c r="A619" s="219"/>
      <c r="B619" s="220" t="s">
        <v>954</v>
      </c>
      <c r="C619" s="221"/>
      <c r="D619" s="222" t="s">
        <v>955</v>
      </c>
      <c r="E619" s="223">
        <f>E620+E622+E623+E624+E621</f>
        <v>8897221.9399999995</v>
      </c>
      <c r="F619" s="239">
        <f t="shared" ref="F619:AE619" si="268">F620+F622+F623+F624+F621</f>
        <v>8686310.1699999999</v>
      </c>
      <c r="G619" s="291">
        <f>F619/E619</f>
        <v>0.97629464888902173</v>
      </c>
      <c r="H619" s="239">
        <f t="shared" si="268"/>
        <v>8891140.1699999999</v>
      </c>
      <c r="I619" s="240">
        <f t="shared" si="268"/>
        <v>589190</v>
      </c>
      <c r="J619" s="935">
        <f>I619/E619</f>
        <v>6.6221794170507123E-2</v>
      </c>
      <c r="K619" s="926">
        <f t="shared" si="268"/>
        <v>589190</v>
      </c>
      <c r="L619" s="223">
        <f t="shared" si="268"/>
        <v>589190</v>
      </c>
      <c r="M619" s="223">
        <f t="shared" si="268"/>
        <v>0</v>
      </c>
      <c r="N619" s="223">
        <f t="shared" si="268"/>
        <v>9600</v>
      </c>
      <c r="O619" s="223">
        <f t="shared" si="268"/>
        <v>0</v>
      </c>
      <c r="P619" s="223">
        <f t="shared" si="268"/>
        <v>579590</v>
      </c>
      <c r="Q619" s="223">
        <f t="shared" si="268"/>
        <v>0</v>
      </c>
      <c r="R619" s="223">
        <f t="shared" si="268"/>
        <v>0</v>
      </c>
      <c r="S619" s="223">
        <f t="shared" si="268"/>
        <v>0</v>
      </c>
      <c r="T619" s="223">
        <f t="shared" si="268"/>
        <v>0</v>
      </c>
      <c r="U619" s="223">
        <f t="shared" si="268"/>
        <v>0</v>
      </c>
      <c r="V619" s="223">
        <f t="shared" si="268"/>
        <v>0</v>
      </c>
      <c r="W619" s="223">
        <f t="shared" si="268"/>
        <v>0</v>
      </c>
      <c r="X619" s="223">
        <f t="shared" si="268"/>
        <v>0</v>
      </c>
      <c r="Y619" s="223">
        <f t="shared" si="268"/>
        <v>0</v>
      </c>
      <c r="Z619" s="223">
        <f t="shared" si="268"/>
        <v>0</v>
      </c>
      <c r="AA619" s="223">
        <f t="shared" si="268"/>
        <v>0</v>
      </c>
      <c r="AB619" s="223">
        <f t="shared" si="268"/>
        <v>0</v>
      </c>
      <c r="AC619" s="223">
        <f t="shared" si="268"/>
        <v>0</v>
      </c>
      <c r="AD619" s="223">
        <f t="shared" si="268"/>
        <v>0</v>
      </c>
      <c r="AE619" s="223">
        <f t="shared" si="268"/>
        <v>0</v>
      </c>
    </row>
    <row r="620" spans="1:31" ht="22.5" x14ac:dyDescent="0.2">
      <c r="A620" s="227"/>
      <c r="B620" s="227"/>
      <c r="C620" s="228" t="s">
        <v>941</v>
      </c>
      <c r="D620" s="229" t="s">
        <v>942</v>
      </c>
      <c r="E620" s="230" t="s">
        <v>956</v>
      </c>
      <c r="F620" s="231">
        <v>421500</v>
      </c>
      <c r="G620" s="232">
        <f t="shared" si="260"/>
        <v>0.7576438444807938</v>
      </c>
      <c r="H620" s="233">
        <v>556330</v>
      </c>
      <c r="I620" s="234">
        <f>K620</f>
        <v>579590</v>
      </c>
      <c r="J620" s="936">
        <f t="shared" si="261"/>
        <v>1.0418097172541476</v>
      </c>
      <c r="K620" s="241">
        <f>L620+S620+T620</f>
        <v>579590</v>
      </c>
      <c r="L620" s="236">
        <f>SUM(M620:R620)</f>
        <v>579590</v>
      </c>
      <c r="M620" s="236"/>
      <c r="N620" s="236"/>
      <c r="O620" s="236"/>
      <c r="P620" s="236">
        <f>629590-50000</f>
        <v>579590</v>
      </c>
      <c r="Q620" s="236"/>
      <c r="R620" s="242"/>
      <c r="S620" s="236"/>
      <c r="T620" s="236">
        <f>SUM(U620:AD620)</f>
        <v>0</v>
      </c>
      <c r="U620" s="236"/>
      <c r="V620" s="236"/>
      <c r="W620" s="236"/>
      <c r="X620" s="236"/>
      <c r="Y620" s="236"/>
      <c r="Z620" s="236"/>
      <c r="AA620" s="236"/>
      <c r="AB620" s="236"/>
      <c r="AC620" s="236"/>
      <c r="AD620" s="236"/>
      <c r="AE620" s="236"/>
    </row>
    <row r="621" spans="1:31" x14ac:dyDescent="0.2">
      <c r="A621" s="227"/>
      <c r="B621" s="227"/>
      <c r="C621" s="228" t="s">
        <v>413</v>
      </c>
      <c r="D621" s="229" t="s">
        <v>414</v>
      </c>
      <c r="E621" s="230">
        <v>0</v>
      </c>
      <c r="F621" s="231">
        <v>0</v>
      </c>
      <c r="G621" s="232">
        <v>0</v>
      </c>
      <c r="H621" s="233">
        <v>0</v>
      </c>
      <c r="I621" s="234">
        <f t="shared" ref="I621:I624" si="269">K621</f>
        <v>9600</v>
      </c>
      <c r="J621" s="936">
        <v>0</v>
      </c>
      <c r="K621" s="241">
        <f t="shared" ref="K621:K624" si="270">L621+S621+T621</f>
        <v>9600</v>
      </c>
      <c r="L621" s="236">
        <f>SUM(M621:R621)</f>
        <v>9600</v>
      </c>
      <c r="M621" s="236"/>
      <c r="N621" s="236">
        <v>9600</v>
      </c>
      <c r="O621" s="236"/>
      <c r="P621" s="236"/>
      <c r="Q621" s="236"/>
      <c r="R621" s="242"/>
      <c r="S621" s="236"/>
      <c r="T621" s="236"/>
      <c r="U621" s="236"/>
      <c r="V621" s="236"/>
      <c r="W621" s="236"/>
      <c r="X621" s="236"/>
      <c r="Y621" s="236"/>
      <c r="Z621" s="236"/>
      <c r="AA621" s="236"/>
      <c r="AB621" s="236"/>
      <c r="AC621" s="236"/>
      <c r="AD621" s="236"/>
      <c r="AE621" s="236"/>
    </row>
    <row r="622" spans="1:31" x14ac:dyDescent="0.2">
      <c r="A622" s="227"/>
      <c r="B622" s="227"/>
      <c r="C622" s="228" t="s">
        <v>443</v>
      </c>
      <c r="D622" s="229" t="s">
        <v>444</v>
      </c>
      <c r="E622" s="230" t="s">
        <v>957</v>
      </c>
      <c r="F622" s="231">
        <v>236043.23</v>
      </c>
      <c r="G622" s="232">
        <f t="shared" si="260"/>
        <v>0.76389394822006473</v>
      </c>
      <c r="H622" s="233">
        <v>306043.23</v>
      </c>
      <c r="I622" s="234">
        <f t="shared" si="269"/>
        <v>0</v>
      </c>
      <c r="J622" s="936">
        <f t="shared" si="261"/>
        <v>0</v>
      </c>
      <c r="K622" s="241">
        <f t="shared" si="270"/>
        <v>0</v>
      </c>
      <c r="L622" s="236">
        <f>SUM(M622:R622)</f>
        <v>0</v>
      </c>
      <c r="M622" s="236"/>
      <c r="N622" s="236"/>
      <c r="O622" s="236"/>
      <c r="P622" s="236"/>
      <c r="Q622" s="236"/>
      <c r="R622" s="242"/>
      <c r="S622" s="236"/>
      <c r="T622" s="236">
        <f>SUM(U622:AD622)</f>
        <v>0</v>
      </c>
      <c r="U622" s="236"/>
      <c r="V622" s="236"/>
      <c r="W622" s="236"/>
      <c r="X622" s="236"/>
      <c r="Y622" s="236"/>
      <c r="Z622" s="236"/>
      <c r="AA622" s="236"/>
      <c r="AB622" s="236"/>
      <c r="AC622" s="236"/>
      <c r="AD622" s="236"/>
      <c r="AE622" s="236"/>
    </row>
    <row r="623" spans="1:31" x14ac:dyDescent="0.2">
      <c r="A623" s="227"/>
      <c r="B623" s="227"/>
      <c r="C623" s="228" t="s">
        <v>958</v>
      </c>
      <c r="D623" s="229" t="s">
        <v>444</v>
      </c>
      <c r="E623" s="230" t="s">
        <v>959</v>
      </c>
      <c r="F623" s="231">
        <v>6824451.8899999997</v>
      </c>
      <c r="G623" s="232">
        <f t="shared" si="260"/>
        <v>0.99961211788314208</v>
      </c>
      <c r="H623" s="233">
        <v>6824451.8899999997</v>
      </c>
      <c r="I623" s="234">
        <f t="shared" si="269"/>
        <v>0</v>
      </c>
      <c r="J623" s="936">
        <f t="shared" si="261"/>
        <v>0</v>
      </c>
      <c r="K623" s="241">
        <f t="shared" si="270"/>
        <v>0</v>
      </c>
      <c r="L623" s="236">
        <f>SUM(M623:R623)</f>
        <v>0</v>
      </c>
      <c r="M623" s="236"/>
      <c r="N623" s="236"/>
      <c r="O623" s="236"/>
      <c r="P623" s="236"/>
      <c r="Q623" s="236"/>
      <c r="R623" s="242"/>
      <c r="S623" s="236"/>
      <c r="T623" s="236">
        <f>SUM(U623:AD623)</f>
        <v>0</v>
      </c>
      <c r="U623" s="236"/>
      <c r="V623" s="236"/>
      <c r="W623" s="236"/>
      <c r="X623" s="236"/>
      <c r="Y623" s="236"/>
      <c r="Z623" s="236"/>
      <c r="AA623" s="236"/>
      <c r="AB623" s="236"/>
      <c r="AC623" s="236"/>
      <c r="AD623" s="236"/>
      <c r="AE623" s="236"/>
    </row>
    <row r="624" spans="1:31" x14ac:dyDescent="0.2">
      <c r="A624" s="227"/>
      <c r="B624" s="227"/>
      <c r="C624" s="228" t="s">
        <v>960</v>
      </c>
      <c r="D624" s="229" t="s">
        <v>444</v>
      </c>
      <c r="E624" s="230" t="s">
        <v>961</v>
      </c>
      <c r="F624" s="231">
        <v>1204315.05</v>
      </c>
      <c r="G624" s="232">
        <f t="shared" si="260"/>
        <v>0.99960417231874921</v>
      </c>
      <c r="H624" s="233">
        <v>1204315.05</v>
      </c>
      <c r="I624" s="234">
        <f t="shared" si="269"/>
        <v>0</v>
      </c>
      <c r="J624" s="936">
        <f t="shared" si="261"/>
        <v>0</v>
      </c>
      <c r="K624" s="241">
        <f t="shared" si="270"/>
        <v>0</v>
      </c>
      <c r="L624" s="236">
        <f>SUM(M624:R624)</f>
        <v>0</v>
      </c>
      <c r="M624" s="236"/>
      <c r="N624" s="236"/>
      <c r="O624" s="236"/>
      <c r="P624" s="236"/>
      <c r="Q624" s="236"/>
      <c r="R624" s="242"/>
      <c r="S624" s="236"/>
      <c r="T624" s="236">
        <f>SUM(U624:AD624)</f>
        <v>0</v>
      </c>
      <c r="U624" s="236"/>
      <c r="V624" s="236"/>
      <c r="W624" s="236"/>
      <c r="X624" s="236"/>
      <c r="Y624" s="236"/>
      <c r="Z624" s="236"/>
      <c r="AA624" s="236"/>
      <c r="AB624" s="236"/>
      <c r="AC624" s="236"/>
      <c r="AD624" s="236"/>
      <c r="AE624" s="236"/>
    </row>
    <row r="625" spans="1:31" ht="15" x14ac:dyDescent="0.2">
      <c r="A625" s="219"/>
      <c r="B625" s="220" t="s">
        <v>962</v>
      </c>
      <c r="C625" s="221"/>
      <c r="D625" s="222" t="s">
        <v>963</v>
      </c>
      <c r="E625" s="223" t="str">
        <f>E626</f>
        <v>100 000,00</v>
      </c>
      <c r="F625" s="239">
        <f t="shared" ref="F625:AE625" si="271">F626</f>
        <v>100000</v>
      </c>
      <c r="G625" s="238">
        <f t="shared" si="260"/>
        <v>1</v>
      </c>
      <c r="H625" s="239">
        <f t="shared" si="271"/>
        <v>100000</v>
      </c>
      <c r="I625" s="240">
        <f t="shared" si="271"/>
        <v>100000</v>
      </c>
      <c r="J625" s="937">
        <f t="shared" si="261"/>
        <v>1</v>
      </c>
      <c r="K625" s="925">
        <f t="shared" si="271"/>
        <v>100000</v>
      </c>
      <c r="L625" s="223">
        <f t="shared" si="271"/>
        <v>100000</v>
      </c>
      <c r="M625" s="223">
        <f t="shared" si="271"/>
        <v>0</v>
      </c>
      <c r="N625" s="223">
        <f t="shared" si="271"/>
        <v>0</v>
      </c>
      <c r="O625" s="223">
        <f t="shared" si="271"/>
        <v>0</v>
      </c>
      <c r="P625" s="223">
        <f t="shared" si="271"/>
        <v>100000</v>
      </c>
      <c r="Q625" s="223">
        <f t="shared" si="271"/>
        <v>0</v>
      </c>
      <c r="R625" s="226">
        <f>R626</f>
        <v>0</v>
      </c>
      <c r="S625" s="223">
        <f t="shared" si="271"/>
        <v>0</v>
      </c>
      <c r="T625" s="223">
        <f t="shared" si="271"/>
        <v>0</v>
      </c>
      <c r="U625" s="223">
        <f t="shared" si="271"/>
        <v>0</v>
      </c>
      <c r="V625" s="223">
        <f t="shared" si="271"/>
        <v>0</v>
      </c>
      <c r="W625" s="223">
        <f t="shared" si="271"/>
        <v>0</v>
      </c>
      <c r="X625" s="223">
        <f t="shared" si="271"/>
        <v>0</v>
      </c>
      <c r="Y625" s="223">
        <f t="shared" si="271"/>
        <v>0</v>
      </c>
      <c r="Z625" s="223">
        <f t="shared" si="271"/>
        <v>0</v>
      </c>
      <c r="AA625" s="223">
        <f t="shared" si="271"/>
        <v>0</v>
      </c>
      <c r="AB625" s="223">
        <f t="shared" si="271"/>
        <v>0</v>
      </c>
      <c r="AC625" s="223">
        <f t="shared" si="271"/>
        <v>0</v>
      </c>
      <c r="AD625" s="223">
        <f t="shared" si="271"/>
        <v>0</v>
      </c>
      <c r="AE625" s="223">
        <f t="shared" si="271"/>
        <v>0</v>
      </c>
    </row>
    <row r="626" spans="1:31" ht="45" x14ac:dyDescent="0.2">
      <c r="A626" s="227"/>
      <c r="B626" s="227"/>
      <c r="C626" s="228" t="s">
        <v>964</v>
      </c>
      <c r="D626" s="229" t="s">
        <v>965</v>
      </c>
      <c r="E626" s="230" t="s">
        <v>462</v>
      </c>
      <c r="F626" s="231">
        <v>100000</v>
      </c>
      <c r="G626" s="232">
        <f t="shared" si="260"/>
        <v>1</v>
      </c>
      <c r="H626" s="233">
        <v>100000</v>
      </c>
      <c r="I626" s="234">
        <f>K626</f>
        <v>100000</v>
      </c>
      <c r="J626" s="936">
        <f t="shared" si="261"/>
        <v>1</v>
      </c>
      <c r="K626" s="241">
        <f>L626+S626+T626</f>
        <v>100000</v>
      </c>
      <c r="L626" s="236">
        <f>SUM(M626:R626)</f>
        <v>100000</v>
      </c>
      <c r="M626" s="245"/>
      <c r="N626" s="245"/>
      <c r="O626" s="245"/>
      <c r="P626" s="236">
        <v>100000</v>
      </c>
      <c r="Q626" s="245"/>
      <c r="R626" s="245"/>
      <c r="S626" s="245"/>
      <c r="T626" s="236">
        <f>SUM(U626:AD626)</f>
        <v>0</v>
      </c>
      <c r="U626" s="245"/>
      <c r="V626" s="245"/>
      <c r="W626" s="245"/>
      <c r="X626" s="245"/>
      <c r="Y626" s="245"/>
      <c r="Z626" s="245"/>
      <c r="AA626" s="245"/>
      <c r="AB626" s="245"/>
      <c r="AC626" s="245"/>
      <c r="AD626" s="245"/>
      <c r="AE626" s="245"/>
    </row>
    <row r="627" spans="1:31" ht="22.5" x14ac:dyDescent="0.2">
      <c r="A627" s="219"/>
      <c r="B627" s="220" t="s">
        <v>966</v>
      </c>
      <c r="C627" s="221"/>
      <c r="D627" s="222" t="s">
        <v>967</v>
      </c>
      <c r="E627" s="223">
        <f>E628+E629+E630</f>
        <v>14114</v>
      </c>
      <c r="F627" s="239">
        <f t="shared" ref="F627:AE627" si="272">F628+F629+F630</f>
        <v>9472</v>
      </c>
      <c r="G627" s="238">
        <f t="shared" si="260"/>
        <v>0.67110670256482929</v>
      </c>
      <c r="H627" s="239">
        <f t="shared" si="272"/>
        <v>13894.71</v>
      </c>
      <c r="I627" s="240">
        <f t="shared" si="272"/>
        <v>0</v>
      </c>
      <c r="J627" s="937">
        <f t="shared" si="261"/>
        <v>0</v>
      </c>
      <c r="K627" s="925">
        <f t="shared" si="272"/>
        <v>0</v>
      </c>
      <c r="L627" s="223">
        <f t="shared" si="272"/>
        <v>0</v>
      </c>
      <c r="M627" s="223">
        <f t="shared" si="272"/>
        <v>0</v>
      </c>
      <c r="N627" s="223">
        <f t="shared" si="272"/>
        <v>0</v>
      </c>
      <c r="O627" s="223">
        <f t="shared" si="272"/>
        <v>0</v>
      </c>
      <c r="P627" s="223">
        <f t="shared" si="272"/>
        <v>0</v>
      </c>
      <c r="Q627" s="223">
        <f t="shared" si="272"/>
        <v>0</v>
      </c>
      <c r="R627" s="226">
        <f>R628+R629+R630</f>
        <v>0</v>
      </c>
      <c r="S627" s="223">
        <f t="shared" si="272"/>
        <v>0</v>
      </c>
      <c r="T627" s="223">
        <f t="shared" si="272"/>
        <v>0</v>
      </c>
      <c r="U627" s="223">
        <f t="shared" si="272"/>
        <v>0</v>
      </c>
      <c r="V627" s="223">
        <f t="shared" si="272"/>
        <v>0</v>
      </c>
      <c r="W627" s="223">
        <f t="shared" si="272"/>
        <v>0</v>
      </c>
      <c r="X627" s="223">
        <f t="shared" si="272"/>
        <v>0</v>
      </c>
      <c r="Y627" s="223">
        <f t="shared" si="272"/>
        <v>0</v>
      </c>
      <c r="Z627" s="223">
        <f t="shared" si="272"/>
        <v>0</v>
      </c>
      <c r="AA627" s="223">
        <f t="shared" si="272"/>
        <v>0</v>
      </c>
      <c r="AB627" s="223">
        <f t="shared" si="272"/>
        <v>0</v>
      </c>
      <c r="AC627" s="223">
        <f t="shared" si="272"/>
        <v>0</v>
      </c>
      <c r="AD627" s="223">
        <f t="shared" si="272"/>
        <v>0</v>
      </c>
      <c r="AE627" s="223">
        <f t="shared" si="272"/>
        <v>0</v>
      </c>
    </row>
    <row r="628" spans="1:31" x14ac:dyDescent="0.2">
      <c r="A628" s="227"/>
      <c r="B628" s="227"/>
      <c r="C628" s="228" t="s">
        <v>404</v>
      </c>
      <c r="D628" s="229" t="s">
        <v>405</v>
      </c>
      <c r="E628" s="230" t="s">
        <v>968</v>
      </c>
      <c r="F628" s="231">
        <v>0</v>
      </c>
      <c r="G628" s="232">
        <f t="shared" si="260"/>
        <v>0</v>
      </c>
      <c r="H628" s="233">
        <v>422.71</v>
      </c>
      <c r="I628" s="234">
        <f>K628</f>
        <v>0</v>
      </c>
      <c r="J628" s="936">
        <f t="shared" si="261"/>
        <v>0</v>
      </c>
      <c r="K628" s="241">
        <f>L628+S628+T628</f>
        <v>0</v>
      </c>
      <c r="L628" s="236">
        <f>SUM(M628:R628)</f>
        <v>0</v>
      </c>
      <c r="M628" s="236"/>
      <c r="N628" s="236"/>
      <c r="O628" s="236"/>
      <c r="P628" s="236"/>
      <c r="Q628" s="236"/>
      <c r="R628" s="236"/>
      <c r="S628" s="236"/>
      <c r="T628" s="236">
        <f>SUM(U628:AD628)</f>
        <v>0</v>
      </c>
      <c r="U628" s="236"/>
      <c r="V628" s="236"/>
      <c r="W628" s="236"/>
      <c r="X628" s="236"/>
      <c r="Y628" s="236"/>
      <c r="Z628" s="236"/>
      <c r="AA628" s="236"/>
      <c r="AB628" s="236"/>
      <c r="AC628" s="236"/>
      <c r="AD628" s="236"/>
      <c r="AE628" s="236"/>
    </row>
    <row r="629" spans="1:31" x14ac:dyDescent="0.2">
      <c r="A629" s="227"/>
      <c r="B629" s="227"/>
      <c r="C629" s="228" t="s">
        <v>420</v>
      </c>
      <c r="D629" s="229" t="s">
        <v>421</v>
      </c>
      <c r="E629" s="230" t="s">
        <v>969</v>
      </c>
      <c r="F629" s="231">
        <v>2472</v>
      </c>
      <c r="G629" s="232">
        <f t="shared" si="260"/>
        <v>0.9363636363636364</v>
      </c>
      <c r="H629" s="233">
        <v>2472</v>
      </c>
      <c r="I629" s="234">
        <f t="shared" ref="I629:I630" si="273">K629</f>
        <v>0</v>
      </c>
      <c r="J629" s="936">
        <f t="shared" si="261"/>
        <v>0</v>
      </c>
      <c r="K629" s="241">
        <f t="shared" ref="K629:K630" si="274">L629+S629+T629</f>
        <v>0</v>
      </c>
      <c r="L629" s="236">
        <f t="shared" ref="L629:L634" si="275">SUM(M629:R629)</f>
        <v>0</v>
      </c>
      <c r="M629" s="236"/>
      <c r="N629" s="236"/>
      <c r="O629" s="236"/>
      <c r="P629" s="236"/>
      <c r="Q629" s="236"/>
      <c r="R629" s="236"/>
      <c r="S629" s="236"/>
      <c r="T629" s="236">
        <f>SUM(U629:AD629)</f>
        <v>0</v>
      </c>
      <c r="U629" s="236"/>
      <c r="V629" s="236"/>
      <c r="W629" s="236"/>
      <c r="X629" s="236"/>
      <c r="Y629" s="236"/>
      <c r="Z629" s="236"/>
      <c r="AA629" s="236"/>
      <c r="AB629" s="236"/>
      <c r="AC629" s="236"/>
      <c r="AD629" s="236"/>
      <c r="AE629" s="236"/>
    </row>
    <row r="630" spans="1:31" x14ac:dyDescent="0.2">
      <c r="A630" s="227"/>
      <c r="B630" s="227"/>
      <c r="C630" s="228" t="s">
        <v>438</v>
      </c>
      <c r="D630" s="229" t="s">
        <v>439</v>
      </c>
      <c r="E630" s="230" t="s">
        <v>178</v>
      </c>
      <c r="F630" s="231">
        <v>7000</v>
      </c>
      <c r="G630" s="232">
        <f t="shared" si="260"/>
        <v>0.63636363636363635</v>
      </c>
      <c r="H630" s="233">
        <v>11000</v>
      </c>
      <c r="I630" s="234">
        <f t="shared" si="273"/>
        <v>0</v>
      </c>
      <c r="J630" s="936">
        <f t="shared" si="261"/>
        <v>0</v>
      </c>
      <c r="K630" s="241">
        <f t="shared" si="274"/>
        <v>0</v>
      </c>
      <c r="L630" s="236">
        <f t="shared" si="275"/>
        <v>0</v>
      </c>
      <c r="M630" s="236"/>
      <c r="N630" s="236"/>
      <c r="O630" s="236"/>
      <c r="P630" s="236"/>
      <c r="Q630" s="236"/>
      <c r="R630" s="236"/>
      <c r="S630" s="236"/>
      <c r="T630" s="236">
        <f>SUM(U630:AD630)</f>
        <v>0</v>
      </c>
      <c r="U630" s="236"/>
      <c r="V630" s="236"/>
      <c r="W630" s="236"/>
      <c r="X630" s="236"/>
      <c r="Y630" s="236"/>
      <c r="Z630" s="236"/>
      <c r="AA630" s="236"/>
      <c r="AB630" s="236"/>
      <c r="AC630" s="236"/>
      <c r="AD630" s="236"/>
      <c r="AE630" s="236"/>
    </row>
    <row r="631" spans="1:31" ht="15" x14ac:dyDescent="0.2">
      <c r="A631" s="219"/>
      <c r="B631" s="220" t="s">
        <v>970</v>
      </c>
      <c r="C631" s="221"/>
      <c r="D631" s="222" t="s">
        <v>41</v>
      </c>
      <c r="E631" s="223">
        <f>E632+E633+E634</f>
        <v>79822.42</v>
      </c>
      <c r="F631" s="239">
        <f t="shared" ref="F631:AE631" si="276">F632+F633+F634</f>
        <v>52382.6</v>
      </c>
      <c r="G631" s="238">
        <f t="shared" si="260"/>
        <v>0.65623918693519945</v>
      </c>
      <c r="H631" s="239">
        <f t="shared" si="276"/>
        <v>79822.42</v>
      </c>
      <c r="I631" s="240">
        <f t="shared" si="276"/>
        <v>89967.58</v>
      </c>
      <c r="J631" s="937">
        <f t="shared" si="261"/>
        <v>1.1270966227283012</v>
      </c>
      <c r="K631" s="925">
        <f t="shared" si="276"/>
        <v>89967.58</v>
      </c>
      <c r="L631" s="223">
        <f t="shared" si="276"/>
        <v>89967.58</v>
      </c>
      <c r="M631" s="223">
        <f t="shared" si="276"/>
        <v>0</v>
      </c>
      <c r="N631" s="223">
        <f t="shared" si="276"/>
        <v>0</v>
      </c>
      <c r="O631" s="223">
        <f t="shared" si="276"/>
        <v>0</v>
      </c>
      <c r="P631" s="223">
        <f t="shared" si="276"/>
        <v>0</v>
      </c>
      <c r="Q631" s="223">
        <f t="shared" si="276"/>
        <v>0</v>
      </c>
      <c r="R631" s="226">
        <f>R632+R633+R634</f>
        <v>89967.58</v>
      </c>
      <c r="S631" s="223">
        <f t="shared" si="276"/>
        <v>0</v>
      </c>
      <c r="T631" s="223">
        <f t="shared" si="276"/>
        <v>0</v>
      </c>
      <c r="U631" s="223">
        <f t="shared" si="276"/>
        <v>0</v>
      </c>
      <c r="V631" s="223">
        <f t="shared" si="276"/>
        <v>0</v>
      </c>
      <c r="W631" s="223">
        <f t="shared" si="276"/>
        <v>0</v>
      </c>
      <c r="X631" s="223">
        <f t="shared" si="276"/>
        <v>0</v>
      </c>
      <c r="Y631" s="223">
        <f t="shared" si="276"/>
        <v>0</v>
      </c>
      <c r="Z631" s="223">
        <f t="shared" si="276"/>
        <v>0</v>
      </c>
      <c r="AA631" s="223">
        <f t="shared" si="276"/>
        <v>0</v>
      </c>
      <c r="AB631" s="223">
        <f t="shared" si="276"/>
        <v>0</v>
      </c>
      <c r="AC631" s="223">
        <f t="shared" si="276"/>
        <v>0</v>
      </c>
      <c r="AD631" s="223">
        <f t="shared" si="276"/>
        <v>0</v>
      </c>
      <c r="AE631" s="223">
        <f t="shared" si="276"/>
        <v>0</v>
      </c>
    </row>
    <row r="632" spans="1:31" x14ac:dyDescent="0.2">
      <c r="A632" s="227"/>
      <c r="B632" s="227"/>
      <c r="C632" s="228" t="s">
        <v>420</v>
      </c>
      <c r="D632" s="229" t="s">
        <v>421</v>
      </c>
      <c r="E632" s="230" t="s">
        <v>971</v>
      </c>
      <c r="F632" s="231">
        <v>1300</v>
      </c>
      <c r="G632" s="232">
        <f t="shared" si="260"/>
        <v>1</v>
      </c>
      <c r="H632" s="233">
        <v>1300</v>
      </c>
      <c r="I632" s="234">
        <f>K632</f>
        <v>3600</v>
      </c>
      <c r="J632" s="936">
        <f t="shared" si="261"/>
        <v>2.7692307692307692</v>
      </c>
      <c r="K632" s="241">
        <f>L632+S632+T632</f>
        <v>3600</v>
      </c>
      <c r="L632" s="236">
        <f t="shared" si="275"/>
        <v>3600</v>
      </c>
      <c r="M632" s="236"/>
      <c r="N632" s="236"/>
      <c r="O632" s="236"/>
      <c r="P632" s="236"/>
      <c r="Q632" s="236"/>
      <c r="R632" s="236">
        <v>3600</v>
      </c>
      <c r="S632" s="236"/>
      <c r="T632" s="236">
        <f>SUM(U632:AD632)</f>
        <v>0</v>
      </c>
      <c r="U632" s="236"/>
      <c r="V632" s="236"/>
      <c r="W632" s="236"/>
      <c r="X632" s="236"/>
      <c r="Y632" s="236"/>
      <c r="Z632" s="236"/>
      <c r="AA632" s="236"/>
      <c r="AB632" s="236"/>
      <c r="AC632" s="236"/>
      <c r="AD632" s="236"/>
      <c r="AE632" s="236"/>
    </row>
    <row r="633" spans="1:31" x14ac:dyDescent="0.2">
      <c r="A633" s="227"/>
      <c r="B633" s="227"/>
      <c r="C633" s="228" t="s">
        <v>410</v>
      </c>
      <c r="D633" s="229" t="s">
        <v>411</v>
      </c>
      <c r="E633" s="230" t="s">
        <v>972</v>
      </c>
      <c r="F633" s="231">
        <v>25458.5</v>
      </c>
      <c r="G633" s="232">
        <f t="shared" si="260"/>
        <v>0.55078249905565313</v>
      </c>
      <c r="H633" s="233">
        <v>46222.42</v>
      </c>
      <c r="I633" s="234">
        <f t="shared" ref="I633:I634" si="277">K633</f>
        <v>57550.49</v>
      </c>
      <c r="J633" s="936">
        <f t="shared" si="261"/>
        <v>1.2450773888515574</v>
      </c>
      <c r="K633" s="241">
        <f t="shared" ref="K633:K634" si="278">L633+S633+T633</f>
        <v>57550.49</v>
      </c>
      <c r="L633" s="236">
        <f t="shared" si="275"/>
        <v>57550.49</v>
      </c>
      <c r="M633" s="236"/>
      <c r="N633" s="236"/>
      <c r="O633" s="236"/>
      <c r="P633" s="236"/>
      <c r="Q633" s="236"/>
      <c r="R633" s="236">
        <v>57550.49</v>
      </c>
      <c r="S633" s="236"/>
      <c r="T633" s="236">
        <f>SUM(U633:AD633)</f>
        <v>0</v>
      </c>
      <c r="U633" s="236"/>
      <c r="V633" s="236"/>
      <c r="W633" s="236"/>
      <c r="X633" s="236"/>
      <c r="Y633" s="236"/>
      <c r="Z633" s="236"/>
      <c r="AA633" s="236"/>
      <c r="AB633" s="236"/>
      <c r="AC633" s="236"/>
      <c r="AD633" s="236"/>
      <c r="AE633" s="236"/>
    </row>
    <row r="634" spans="1:31" x14ac:dyDescent="0.2">
      <c r="A634" s="227"/>
      <c r="B634" s="227"/>
      <c r="C634" s="228" t="s">
        <v>413</v>
      </c>
      <c r="D634" s="229" t="s">
        <v>414</v>
      </c>
      <c r="E634" s="230" t="s">
        <v>973</v>
      </c>
      <c r="F634" s="231">
        <v>25624.1</v>
      </c>
      <c r="G634" s="232">
        <f t="shared" si="260"/>
        <v>0.7933157894736842</v>
      </c>
      <c r="H634" s="233">
        <v>32300</v>
      </c>
      <c r="I634" s="234">
        <f t="shared" si="277"/>
        <v>28817.09</v>
      </c>
      <c r="J634" s="936">
        <f t="shared" si="261"/>
        <v>0.8921699690402477</v>
      </c>
      <c r="K634" s="241">
        <f t="shared" si="278"/>
        <v>28817.09</v>
      </c>
      <c r="L634" s="236">
        <f t="shared" si="275"/>
        <v>28817.09</v>
      </c>
      <c r="M634" s="236"/>
      <c r="N634" s="236"/>
      <c r="O634" s="236"/>
      <c r="P634" s="236"/>
      <c r="Q634" s="236"/>
      <c r="R634" s="236">
        <v>28817.09</v>
      </c>
      <c r="S634" s="236"/>
      <c r="T634" s="236">
        <f>SUM(U634:AD634)</f>
        <v>0</v>
      </c>
      <c r="U634" s="236"/>
      <c r="V634" s="236"/>
      <c r="W634" s="236"/>
      <c r="X634" s="236"/>
      <c r="Y634" s="236"/>
      <c r="Z634" s="236"/>
      <c r="AA634" s="236"/>
      <c r="AB634" s="236"/>
      <c r="AC634" s="236"/>
      <c r="AD634" s="236"/>
      <c r="AE634" s="236"/>
    </row>
    <row r="635" spans="1:31" x14ac:dyDescent="0.2">
      <c r="A635" s="213" t="s">
        <v>359</v>
      </c>
      <c r="B635" s="213"/>
      <c r="C635" s="213"/>
      <c r="D635" s="214" t="s">
        <v>360</v>
      </c>
      <c r="E635" s="215">
        <f>E636+E649</f>
        <v>1292021.8399999999</v>
      </c>
      <c r="F635" s="273">
        <f t="shared" ref="F635:AE635" si="279">F636+F649</f>
        <v>329836.62</v>
      </c>
      <c r="G635" s="246">
        <f t="shared" si="260"/>
        <v>0.25528718616706975</v>
      </c>
      <c r="H635" s="273">
        <f t="shared" si="279"/>
        <v>1273895.31</v>
      </c>
      <c r="I635" s="274">
        <f t="shared" si="279"/>
        <v>1554244.03</v>
      </c>
      <c r="J635" s="938">
        <f t="shared" si="261"/>
        <v>1.2029549206381838</v>
      </c>
      <c r="K635" s="924">
        <f t="shared" si="279"/>
        <v>1554244.03</v>
      </c>
      <c r="L635" s="215">
        <f t="shared" si="279"/>
        <v>1420335.03</v>
      </c>
      <c r="M635" s="215">
        <f t="shared" si="279"/>
        <v>0</v>
      </c>
      <c r="N635" s="215">
        <f t="shared" si="279"/>
        <v>1368317.57</v>
      </c>
      <c r="O635" s="215">
        <f t="shared" si="279"/>
        <v>0</v>
      </c>
      <c r="P635" s="215">
        <f t="shared" si="279"/>
        <v>0</v>
      </c>
      <c r="Q635" s="215">
        <f t="shared" si="279"/>
        <v>0</v>
      </c>
      <c r="R635" s="218">
        <f>R636+R649</f>
        <v>52017.46</v>
      </c>
      <c r="S635" s="215">
        <f t="shared" si="279"/>
        <v>0</v>
      </c>
      <c r="T635" s="215">
        <f t="shared" si="279"/>
        <v>133909</v>
      </c>
      <c r="U635" s="215">
        <f t="shared" si="279"/>
        <v>0</v>
      </c>
      <c r="V635" s="215">
        <f t="shared" si="279"/>
        <v>133909</v>
      </c>
      <c r="W635" s="215">
        <f t="shared" si="279"/>
        <v>0</v>
      </c>
      <c r="X635" s="215">
        <f t="shared" si="279"/>
        <v>0</v>
      </c>
      <c r="Y635" s="215">
        <f t="shared" si="279"/>
        <v>0</v>
      </c>
      <c r="Z635" s="215">
        <f t="shared" si="279"/>
        <v>0</v>
      </c>
      <c r="AA635" s="215">
        <f t="shared" si="279"/>
        <v>0</v>
      </c>
      <c r="AB635" s="215">
        <f t="shared" si="279"/>
        <v>0</v>
      </c>
      <c r="AC635" s="215">
        <f t="shared" si="279"/>
        <v>0</v>
      </c>
      <c r="AD635" s="215">
        <f t="shared" si="279"/>
        <v>0</v>
      </c>
      <c r="AE635" s="215">
        <f t="shared" si="279"/>
        <v>0</v>
      </c>
    </row>
    <row r="636" spans="1:31" ht="15" x14ac:dyDescent="0.2">
      <c r="A636" s="219"/>
      <c r="B636" s="220" t="s">
        <v>361</v>
      </c>
      <c r="C636" s="221"/>
      <c r="D636" s="222" t="s">
        <v>362</v>
      </c>
      <c r="E636" s="223">
        <f>E637+E638+E639+E640+E641+E642+E643+E644+E645+E646+E647+E648</f>
        <v>960929.2</v>
      </c>
      <c r="F636" s="239">
        <f t="shared" ref="F636:AE636" si="280">F637+F638+F639+F640+F641+F642+F643+F644+F645+F646+F647+F648</f>
        <v>95207.97</v>
      </c>
      <c r="G636" s="291">
        <f>F636/E636</f>
        <v>9.9079068468311715E-2</v>
      </c>
      <c r="H636" s="239">
        <f t="shared" si="280"/>
        <v>952146.99</v>
      </c>
      <c r="I636" s="240">
        <f t="shared" si="280"/>
        <v>1178926.46</v>
      </c>
      <c r="J636" s="935">
        <f>I636/E636</f>
        <v>1.2268608967237129</v>
      </c>
      <c r="K636" s="926">
        <f t="shared" si="280"/>
        <v>1178926.46</v>
      </c>
      <c r="L636" s="223">
        <f t="shared" si="280"/>
        <v>1045017.46</v>
      </c>
      <c r="M636" s="223">
        <f t="shared" si="280"/>
        <v>0</v>
      </c>
      <c r="N636" s="223">
        <f t="shared" si="280"/>
        <v>1000000</v>
      </c>
      <c r="O636" s="223">
        <f t="shared" si="280"/>
        <v>0</v>
      </c>
      <c r="P636" s="223">
        <f t="shared" si="280"/>
        <v>0</v>
      </c>
      <c r="Q636" s="223">
        <f t="shared" si="280"/>
        <v>0</v>
      </c>
      <c r="R636" s="223">
        <f t="shared" si="280"/>
        <v>45017.46</v>
      </c>
      <c r="S636" s="223">
        <f t="shared" si="280"/>
        <v>0</v>
      </c>
      <c r="T636" s="223">
        <f t="shared" si="280"/>
        <v>133909</v>
      </c>
      <c r="U636" s="223">
        <f t="shared" si="280"/>
        <v>0</v>
      </c>
      <c r="V636" s="223">
        <f t="shared" si="280"/>
        <v>133909</v>
      </c>
      <c r="W636" s="223">
        <f t="shared" si="280"/>
        <v>0</v>
      </c>
      <c r="X636" s="223">
        <f t="shared" si="280"/>
        <v>0</v>
      </c>
      <c r="Y636" s="223">
        <f t="shared" si="280"/>
        <v>0</v>
      </c>
      <c r="Z636" s="223">
        <f t="shared" si="280"/>
        <v>0</v>
      </c>
      <c r="AA636" s="223">
        <f t="shared" si="280"/>
        <v>0</v>
      </c>
      <c r="AB636" s="223">
        <f t="shared" si="280"/>
        <v>0</v>
      </c>
      <c r="AC636" s="223">
        <f t="shared" si="280"/>
        <v>0</v>
      </c>
      <c r="AD636" s="223">
        <f t="shared" si="280"/>
        <v>0</v>
      </c>
      <c r="AE636" s="223">
        <f t="shared" si="280"/>
        <v>0</v>
      </c>
    </row>
    <row r="637" spans="1:31" x14ac:dyDescent="0.2">
      <c r="A637" s="227"/>
      <c r="B637" s="227"/>
      <c r="C637" s="228" t="s">
        <v>404</v>
      </c>
      <c r="D637" s="229" t="s">
        <v>405</v>
      </c>
      <c r="E637" s="230" t="s">
        <v>974</v>
      </c>
      <c r="F637" s="231">
        <v>7364.06</v>
      </c>
      <c r="G637" s="232">
        <f t="shared" si="260"/>
        <v>0.71398681403917008</v>
      </c>
      <c r="H637" s="230" t="s">
        <v>974</v>
      </c>
      <c r="I637" s="234">
        <f>K637</f>
        <v>13924</v>
      </c>
      <c r="J637" s="936">
        <f t="shared" si="261"/>
        <v>1.3500096955594338</v>
      </c>
      <c r="K637" s="241">
        <f>L637+S637+T637</f>
        <v>13924</v>
      </c>
      <c r="L637" s="236">
        <f>SUM(M637:R637)</f>
        <v>0</v>
      </c>
      <c r="M637" s="236"/>
      <c r="N637" s="236"/>
      <c r="O637" s="236"/>
      <c r="P637" s="236"/>
      <c r="Q637" s="236"/>
      <c r="R637" s="236"/>
      <c r="S637" s="236"/>
      <c r="T637" s="236">
        <f t="shared" ref="T637:T648" si="281">SUM(U637:AE637)</f>
        <v>13924</v>
      </c>
      <c r="U637" s="236"/>
      <c r="V637" s="236">
        <v>13924</v>
      </c>
      <c r="W637" s="236"/>
      <c r="X637" s="236"/>
      <c r="Y637" s="236"/>
      <c r="Z637" s="236"/>
      <c r="AA637" s="236"/>
      <c r="AB637" s="236"/>
      <c r="AC637" s="236"/>
      <c r="AD637" s="236"/>
      <c r="AE637" s="236"/>
    </row>
    <row r="638" spans="1:31" x14ac:dyDescent="0.2">
      <c r="A638" s="227"/>
      <c r="B638" s="227"/>
      <c r="C638" s="228" t="s">
        <v>407</v>
      </c>
      <c r="D638" s="229" t="s">
        <v>408</v>
      </c>
      <c r="E638" s="230" t="s">
        <v>975</v>
      </c>
      <c r="F638" s="231">
        <v>650.37</v>
      </c>
      <c r="G638" s="232">
        <f t="shared" si="260"/>
        <v>0.44242857142857145</v>
      </c>
      <c r="H638" s="230" t="s">
        <v>975</v>
      </c>
      <c r="I638" s="234">
        <f t="shared" ref="I638:I648" si="282">K638</f>
        <v>1985</v>
      </c>
      <c r="J638" s="936">
        <f t="shared" si="261"/>
        <v>1.3503401360544218</v>
      </c>
      <c r="K638" s="241">
        <f t="shared" ref="K638:K648" si="283">L638+S638+T638</f>
        <v>1985</v>
      </c>
      <c r="L638" s="236">
        <f t="shared" ref="L638:L648" si="284">SUM(M638:R638)</f>
        <v>0</v>
      </c>
      <c r="M638" s="236"/>
      <c r="N638" s="236"/>
      <c r="O638" s="236"/>
      <c r="P638" s="236"/>
      <c r="Q638" s="236"/>
      <c r="R638" s="236"/>
      <c r="S638" s="236"/>
      <c r="T638" s="236">
        <f t="shared" si="281"/>
        <v>1985</v>
      </c>
      <c r="U638" s="236"/>
      <c r="V638" s="236">
        <v>1985</v>
      </c>
      <c r="W638" s="236"/>
      <c r="X638" s="236"/>
      <c r="Y638" s="236"/>
      <c r="Z638" s="236"/>
      <c r="AA638" s="236"/>
      <c r="AB638" s="236"/>
      <c r="AC638" s="236"/>
      <c r="AD638" s="236"/>
      <c r="AE638" s="236"/>
    </row>
    <row r="639" spans="1:31" x14ac:dyDescent="0.2">
      <c r="A639" s="227"/>
      <c r="B639" s="227"/>
      <c r="C639" s="228" t="s">
        <v>420</v>
      </c>
      <c r="D639" s="229" t="s">
        <v>421</v>
      </c>
      <c r="E639" s="230" t="s">
        <v>144</v>
      </c>
      <c r="F639" s="231">
        <v>43088.46</v>
      </c>
      <c r="G639" s="232">
        <f t="shared" si="260"/>
        <v>0.71814100000000003</v>
      </c>
      <c r="H639" s="230" t="s">
        <v>144</v>
      </c>
      <c r="I639" s="234">
        <f t="shared" si="282"/>
        <v>84000</v>
      </c>
      <c r="J639" s="936">
        <f t="shared" si="261"/>
        <v>1.4</v>
      </c>
      <c r="K639" s="241">
        <f t="shared" si="283"/>
        <v>84000</v>
      </c>
      <c r="L639" s="236">
        <f t="shared" si="284"/>
        <v>3000</v>
      </c>
      <c r="M639" s="236"/>
      <c r="N639" s="236"/>
      <c r="O639" s="236"/>
      <c r="P639" s="236"/>
      <c r="Q639" s="236"/>
      <c r="R639" s="236">
        <v>3000</v>
      </c>
      <c r="S639" s="236"/>
      <c r="T639" s="236">
        <f t="shared" si="281"/>
        <v>81000</v>
      </c>
      <c r="U639" s="236"/>
      <c r="V639" s="236">
        <v>81000</v>
      </c>
      <c r="W639" s="236"/>
      <c r="X639" s="236"/>
      <c r="Y639" s="236"/>
      <c r="Z639" s="236"/>
      <c r="AA639" s="236"/>
      <c r="AB639" s="236"/>
      <c r="AC639" s="236"/>
      <c r="AD639" s="236"/>
      <c r="AE639" s="236"/>
    </row>
    <row r="640" spans="1:31" x14ac:dyDescent="0.2">
      <c r="A640" s="227"/>
      <c r="B640" s="227"/>
      <c r="C640" s="228" t="s">
        <v>410</v>
      </c>
      <c r="D640" s="229" t="s">
        <v>411</v>
      </c>
      <c r="E640" s="230" t="s">
        <v>559</v>
      </c>
      <c r="F640" s="231">
        <v>5991.63</v>
      </c>
      <c r="G640" s="232">
        <f t="shared" si="260"/>
        <v>0.39944200000000002</v>
      </c>
      <c r="H640" s="233">
        <v>14978.26</v>
      </c>
      <c r="I640" s="234">
        <f t="shared" si="282"/>
        <v>39017.46</v>
      </c>
      <c r="J640" s="936">
        <f t="shared" si="261"/>
        <v>2.6011639999999998</v>
      </c>
      <c r="K640" s="241">
        <f t="shared" si="283"/>
        <v>39017.46</v>
      </c>
      <c r="L640" s="236">
        <f t="shared" si="284"/>
        <v>24017.46</v>
      </c>
      <c r="M640" s="236"/>
      <c r="N640" s="236"/>
      <c r="O640" s="236"/>
      <c r="P640" s="236"/>
      <c r="Q640" s="236"/>
      <c r="R640" s="236">
        <f>31017.46-7000</f>
        <v>24017.46</v>
      </c>
      <c r="S640" s="236"/>
      <c r="T640" s="236">
        <f t="shared" si="281"/>
        <v>15000</v>
      </c>
      <c r="U640" s="236"/>
      <c r="V640" s="236">
        <v>15000</v>
      </c>
      <c r="W640" s="236"/>
      <c r="X640" s="236"/>
      <c r="Y640" s="236"/>
      <c r="Z640" s="236"/>
      <c r="AA640" s="236"/>
      <c r="AB640" s="236"/>
      <c r="AC640" s="236"/>
      <c r="AD640" s="236"/>
      <c r="AE640" s="236"/>
    </row>
    <row r="641" spans="1:31" x14ac:dyDescent="0.2">
      <c r="A641" s="227"/>
      <c r="B641" s="227"/>
      <c r="C641" s="228" t="s">
        <v>424</v>
      </c>
      <c r="D641" s="229" t="s">
        <v>425</v>
      </c>
      <c r="E641" s="230" t="s">
        <v>400</v>
      </c>
      <c r="F641" s="231">
        <v>6700.57</v>
      </c>
      <c r="G641" s="232">
        <f t="shared" si="260"/>
        <v>0.39415117647058823</v>
      </c>
      <c r="H641" s="233">
        <v>10371.84</v>
      </c>
      <c r="I641" s="234">
        <f t="shared" si="282"/>
        <v>17000</v>
      </c>
      <c r="J641" s="936">
        <f t="shared" si="261"/>
        <v>1</v>
      </c>
      <c r="K641" s="241">
        <f t="shared" si="283"/>
        <v>17000</v>
      </c>
      <c r="L641" s="236">
        <f t="shared" si="284"/>
        <v>7000</v>
      </c>
      <c r="M641" s="236"/>
      <c r="N641" s="236">
        <v>7000</v>
      </c>
      <c r="O641" s="236"/>
      <c r="P641" s="236"/>
      <c r="Q641" s="236"/>
      <c r="R641" s="236"/>
      <c r="S641" s="236"/>
      <c r="T641" s="236">
        <f t="shared" si="281"/>
        <v>10000</v>
      </c>
      <c r="U641" s="236"/>
      <c r="V641" s="236">
        <v>10000</v>
      </c>
      <c r="W641" s="236"/>
      <c r="X641" s="236"/>
      <c r="Y641" s="236"/>
      <c r="Z641" s="236"/>
      <c r="AA641" s="236"/>
      <c r="AB641" s="236"/>
      <c r="AC641" s="236"/>
      <c r="AD641" s="236"/>
      <c r="AE641" s="236"/>
    </row>
    <row r="642" spans="1:31" x14ac:dyDescent="0.2">
      <c r="A642" s="227"/>
      <c r="B642" s="227"/>
      <c r="C642" s="228" t="s">
        <v>438</v>
      </c>
      <c r="D642" s="229" t="s">
        <v>439</v>
      </c>
      <c r="E642" s="230" t="s">
        <v>976</v>
      </c>
      <c r="F642" s="231">
        <v>0</v>
      </c>
      <c r="G642" s="232">
        <f t="shared" si="260"/>
        <v>0</v>
      </c>
      <c r="H642" s="233">
        <v>143700</v>
      </c>
      <c r="I642" s="234">
        <f t="shared" si="282"/>
        <v>5000</v>
      </c>
      <c r="J642" s="936">
        <f t="shared" si="261"/>
        <v>3.4794711203897009E-2</v>
      </c>
      <c r="K642" s="241">
        <f t="shared" si="283"/>
        <v>5000</v>
      </c>
      <c r="L642" s="236">
        <f t="shared" si="284"/>
        <v>5000</v>
      </c>
      <c r="M642" s="236"/>
      <c r="N642" s="236">
        <v>5000</v>
      </c>
      <c r="O642" s="236"/>
      <c r="P642" s="236"/>
      <c r="Q642" s="236"/>
      <c r="R642" s="236"/>
      <c r="S642" s="236"/>
      <c r="T642" s="236">
        <f t="shared" si="281"/>
        <v>0</v>
      </c>
      <c r="U642" s="236"/>
      <c r="V642" s="236">
        <v>0</v>
      </c>
      <c r="W642" s="236"/>
      <c r="X642" s="236"/>
      <c r="Y642" s="236"/>
      <c r="Z642" s="236"/>
      <c r="AA642" s="236"/>
      <c r="AB642" s="236"/>
      <c r="AC642" s="236"/>
      <c r="AD642" s="236"/>
      <c r="AE642" s="236"/>
    </row>
    <row r="643" spans="1:31" x14ac:dyDescent="0.2">
      <c r="A643" s="227"/>
      <c r="B643" s="227"/>
      <c r="C643" s="228" t="s">
        <v>524</v>
      </c>
      <c r="D643" s="229" t="s">
        <v>525</v>
      </c>
      <c r="E643" s="230" t="s">
        <v>340</v>
      </c>
      <c r="F643" s="231">
        <v>0</v>
      </c>
      <c r="G643" s="232">
        <f t="shared" si="260"/>
        <v>0</v>
      </c>
      <c r="H643" s="233">
        <v>0</v>
      </c>
      <c r="I643" s="234">
        <f t="shared" si="282"/>
        <v>0</v>
      </c>
      <c r="J643" s="936">
        <f t="shared" si="261"/>
        <v>0</v>
      </c>
      <c r="K643" s="241">
        <f t="shared" si="283"/>
        <v>0</v>
      </c>
      <c r="L643" s="236">
        <f t="shared" si="284"/>
        <v>0</v>
      </c>
      <c r="M643" s="236"/>
      <c r="N643" s="236"/>
      <c r="O643" s="236"/>
      <c r="P643" s="236"/>
      <c r="Q643" s="236"/>
      <c r="R643" s="236"/>
      <c r="S643" s="236"/>
      <c r="T643" s="236">
        <f t="shared" si="281"/>
        <v>0</v>
      </c>
      <c r="U643" s="236"/>
      <c r="V643" s="236">
        <v>0</v>
      </c>
      <c r="W643" s="236"/>
      <c r="X643" s="236"/>
      <c r="Y643" s="236"/>
      <c r="Z643" s="236"/>
      <c r="AA643" s="236"/>
      <c r="AB643" s="236"/>
      <c r="AC643" s="236"/>
      <c r="AD643" s="236"/>
      <c r="AE643" s="236"/>
    </row>
    <row r="644" spans="1:31" x14ac:dyDescent="0.2">
      <c r="A644" s="227"/>
      <c r="B644" s="227"/>
      <c r="C644" s="228" t="s">
        <v>413</v>
      </c>
      <c r="D644" s="229" t="s">
        <v>414</v>
      </c>
      <c r="E644" s="230" t="s">
        <v>603</v>
      </c>
      <c r="F644" s="231">
        <v>7924.13</v>
      </c>
      <c r="G644" s="232">
        <f t="shared" si="260"/>
        <v>0.49525812499999999</v>
      </c>
      <c r="H644" s="233">
        <v>15848.26</v>
      </c>
      <c r="I644" s="234">
        <f t="shared" si="282"/>
        <v>35000</v>
      </c>
      <c r="J644" s="936">
        <f t="shared" si="261"/>
        <v>2.1875</v>
      </c>
      <c r="K644" s="241">
        <f t="shared" si="283"/>
        <v>35000</v>
      </c>
      <c r="L644" s="236">
        <f t="shared" si="284"/>
        <v>23000</v>
      </c>
      <c r="M644" s="236"/>
      <c r="N644" s="236">
        <f>5000+10000</f>
        <v>15000</v>
      </c>
      <c r="O644" s="236"/>
      <c r="P644" s="236"/>
      <c r="Q644" s="236"/>
      <c r="R644" s="236">
        <v>8000</v>
      </c>
      <c r="S644" s="236"/>
      <c r="T644" s="236">
        <f t="shared" si="281"/>
        <v>12000</v>
      </c>
      <c r="U644" s="236"/>
      <c r="V644" s="236">
        <v>12000</v>
      </c>
      <c r="W644" s="236"/>
      <c r="X644" s="236"/>
      <c r="Y644" s="236"/>
      <c r="Z644" s="236"/>
      <c r="AA644" s="236"/>
      <c r="AB644" s="236"/>
      <c r="AC644" s="236"/>
      <c r="AD644" s="236"/>
      <c r="AE644" s="236"/>
    </row>
    <row r="645" spans="1:31" x14ac:dyDescent="0.2">
      <c r="A645" s="227"/>
      <c r="B645" s="227"/>
      <c r="C645" s="228" t="s">
        <v>443</v>
      </c>
      <c r="D645" s="229" t="s">
        <v>444</v>
      </c>
      <c r="E645" s="230" t="s">
        <v>977</v>
      </c>
      <c r="F645" s="231">
        <v>8488.75</v>
      </c>
      <c r="G645" s="232">
        <f t="shared" si="260"/>
        <v>5.1412199470673138E-2</v>
      </c>
      <c r="H645" s="233">
        <v>165111.59</v>
      </c>
      <c r="I645" s="234">
        <f t="shared" si="282"/>
        <v>983000</v>
      </c>
      <c r="J645" s="936">
        <f t="shared" si="261"/>
        <v>5.9535493541065172</v>
      </c>
      <c r="K645" s="241">
        <f t="shared" si="283"/>
        <v>983000</v>
      </c>
      <c r="L645" s="236">
        <f t="shared" si="284"/>
        <v>983000</v>
      </c>
      <c r="M645" s="236"/>
      <c r="N645" s="236">
        <f>300000+350000+200000+123000</f>
        <v>973000</v>
      </c>
      <c r="O645" s="236"/>
      <c r="P645" s="236"/>
      <c r="Q645" s="236"/>
      <c r="R645" s="236">
        <v>10000</v>
      </c>
      <c r="S645" s="236"/>
      <c r="T645" s="236">
        <f t="shared" si="281"/>
        <v>0</v>
      </c>
      <c r="U645" s="236"/>
      <c r="V645" s="236"/>
      <c r="W645" s="236"/>
      <c r="X645" s="236"/>
      <c r="Y645" s="236"/>
      <c r="Z645" s="236"/>
      <c r="AA645" s="236"/>
      <c r="AB645" s="236"/>
      <c r="AC645" s="236"/>
      <c r="AD645" s="236"/>
      <c r="AE645" s="236"/>
    </row>
    <row r="646" spans="1:31" x14ac:dyDescent="0.2">
      <c r="A646" s="227"/>
      <c r="B646" s="227"/>
      <c r="C646" s="228" t="s">
        <v>978</v>
      </c>
      <c r="D646" s="229" t="s">
        <v>444</v>
      </c>
      <c r="E646" s="230" t="s">
        <v>979</v>
      </c>
      <c r="F646" s="231">
        <v>0</v>
      </c>
      <c r="G646" s="232">
        <f t="shared" si="260"/>
        <v>0</v>
      </c>
      <c r="H646" s="233">
        <v>255000</v>
      </c>
      <c r="I646" s="234">
        <f t="shared" si="282"/>
        <v>0</v>
      </c>
      <c r="J646" s="936">
        <f t="shared" si="261"/>
        <v>0</v>
      </c>
      <c r="K646" s="241">
        <f t="shared" si="283"/>
        <v>0</v>
      </c>
      <c r="L646" s="236">
        <f t="shared" si="284"/>
        <v>0</v>
      </c>
      <c r="M646" s="236"/>
      <c r="N646" s="236"/>
      <c r="O646" s="236"/>
      <c r="P646" s="236"/>
      <c r="Q646" s="236"/>
      <c r="R646" s="236"/>
      <c r="S646" s="236"/>
      <c r="T646" s="236">
        <f t="shared" si="281"/>
        <v>0</v>
      </c>
      <c r="U646" s="236"/>
      <c r="V646" s="236"/>
      <c r="W646" s="236"/>
      <c r="X646" s="236"/>
      <c r="Y646" s="236"/>
      <c r="Z646" s="236"/>
      <c r="AA646" s="236"/>
      <c r="AB646" s="236"/>
      <c r="AC646" s="236"/>
      <c r="AD646" s="236"/>
      <c r="AE646" s="236"/>
    </row>
    <row r="647" spans="1:31" x14ac:dyDescent="0.2">
      <c r="A647" s="227"/>
      <c r="B647" s="227"/>
      <c r="C647" s="228" t="s">
        <v>960</v>
      </c>
      <c r="D647" s="229" t="s">
        <v>444</v>
      </c>
      <c r="E647" s="230" t="s">
        <v>980</v>
      </c>
      <c r="F647" s="231">
        <v>0</v>
      </c>
      <c r="G647" s="232">
        <f t="shared" si="260"/>
        <v>0</v>
      </c>
      <c r="H647" s="233">
        <v>260353.04</v>
      </c>
      <c r="I647" s="234">
        <f t="shared" si="282"/>
        <v>0</v>
      </c>
      <c r="J647" s="936">
        <f t="shared" si="261"/>
        <v>0</v>
      </c>
      <c r="K647" s="241">
        <f t="shared" si="283"/>
        <v>0</v>
      </c>
      <c r="L647" s="236">
        <f t="shared" si="284"/>
        <v>0</v>
      </c>
      <c r="M647" s="236"/>
      <c r="N647" s="236"/>
      <c r="O647" s="236"/>
      <c r="P647" s="236"/>
      <c r="Q647" s="236"/>
      <c r="R647" s="236"/>
      <c r="S647" s="236"/>
      <c r="T647" s="236">
        <f t="shared" si="281"/>
        <v>0</v>
      </c>
      <c r="U647" s="236"/>
      <c r="V647" s="236"/>
      <c r="W647" s="236"/>
      <c r="X647" s="236"/>
      <c r="Y647" s="236"/>
      <c r="Z647" s="236"/>
      <c r="AA647" s="236"/>
      <c r="AB647" s="236"/>
      <c r="AC647" s="236"/>
      <c r="AD647" s="236"/>
      <c r="AE647" s="236"/>
    </row>
    <row r="648" spans="1:31" x14ac:dyDescent="0.2">
      <c r="A648" s="227"/>
      <c r="B648" s="227"/>
      <c r="C648" s="228" t="s">
        <v>454</v>
      </c>
      <c r="D648" s="229" t="s">
        <v>455</v>
      </c>
      <c r="E648" s="230" t="s">
        <v>559</v>
      </c>
      <c r="F648" s="231">
        <v>15000</v>
      </c>
      <c r="G648" s="232">
        <f t="shared" si="260"/>
        <v>1</v>
      </c>
      <c r="H648" s="233">
        <v>15000</v>
      </c>
      <c r="I648" s="234">
        <f t="shared" si="282"/>
        <v>0</v>
      </c>
      <c r="J648" s="936">
        <f t="shared" si="261"/>
        <v>0</v>
      </c>
      <c r="K648" s="241">
        <f t="shared" si="283"/>
        <v>0</v>
      </c>
      <c r="L648" s="236">
        <f t="shared" si="284"/>
        <v>0</v>
      </c>
      <c r="M648" s="236"/>
      <c r="N648" s="236"/>
      <c r="O648" s="236"/>
      <c r="P648" s="236"/>
      <c r="Q648" s="236"/>
      <c r="R648" s="236"/>
      <c r="S648" s="236"/>
      <c r="T648" s="236">
        <f t="shared" si="281"/>
        <v>0</v>
      </c>
      <c r="U648" s="236"/>
      <c r="V648" s="236"/>
      <c r="W648" s="236"/>
      <c r="X648" s="236"/>
      <c r="Y648" s="236"/>
      <c r="Z648" s="236"/>
      <c r="AA648" s="236"/>
      <c r="AB648" s="236"/>
      <c r="AC648" s="236"/>
      <c r="AD648" s="236"/>
      <c r="AE648" s="236"/>
    </row>
    <row r="649" spans="1:31" ht="15" x14ac:dyDescent="0.2">
      <c r="A649" s="219"/>
      <c r="B649" s="220" t="s">
        <v>368</v>
      </c>
      <c r="C649" s="221"/>
      <c r="D649" s="222" t="s">
        <v>41</v>
      </c>
      <c r="E649" s="223">
        <f>E650+E651+E652+E653+E654+E655+E656</f>
        <v>331092.64</v>
      </c>
      <c r="F649" s="239">
        <f t="shared" ref="F649:AE649" si="285">F650+F651+F652+F653+F654+F655+F656</f>
        <v>234628.65</v>
      </c>
      <c r="G649" s="238">
        <f t="shared" si="260"/>
        <v>0.70864954896007348</v>
      </c>
      <c r="H649" s="239">
        <f t="shared" si="285"/>
        <v>321748.32</v>
      </c>
      <c r="I649" s="240">
        <f t="shared" si="285"/>
        <v>375317.57</v>
      </c>
      <c r="J649" s="937">
        <f t="shared" si="261"/>
        <v>1.1335726762153335</v>
      </c>
      <c r="K649" s="925">
        <f t="shared" si="285"/>
        <v>375317.57</v>
      </c>
      <c r="L649" s="223">
        <f t="shared" si="285"/>
        <v>375317.57</v>
      </c>
      <c r="M649" s="223">
        <f t="shared" si="285"/>
        <v>0</v>
      </c>
      <c r="N649" s="223">
        <f t="shared" si="285"/>
        <v>368317.57</v>
      </c>
      <c r="O649" s="223">
        <f t="shared" si="285"/>
        <v>0</v>
      </c>
      <c r="P649" s="223">
        <f t="shared" si="285"/>
        <v>0</v>
      </c>
      <c r="Q649" s="223">
        <f t="shared" si="285"/>
        <v>0</v>
      </c>
      <c r="R649" s="226">
        <f>R650+R651+R652+R653+R654+R655+R656</f>
        <v>7000</v>
      </c>
      <c r="S649" s="223">
        <f t="shared" si="285"/>
        <v>0</v>
      </c>
      <c r="T649" s="223">
        <f t="shared" si="285"/>
        <v>0</v>
      </c>
      <c r="U649" s="223">
        <f t="shared" si="285"/>
        <v>0</v>
      </c>
      <c r="V649" s="223">
        <f t="shared" si="285"/>
        <v>0</v>
      </c>
      <c r="W649" s="223">
        <f t="shared" si="285"/>
        <v>0</v>
      </c>
      <c r="X649" s="223">
        <f t="shared" si="285"/>
        <v>0</v>
      </c>
      <c r="Y649" s="223">
        <f t="shared" si="285"/>
        <v>0</v>
      </c>
      <c r="Z649" s="223">
        <f t="shared" si="285"/>
        <v>0</v>
      </c>
      <c r="AA649" s="223">
        <f t="shared" si="285"/>
        <v>0</v>
      </c>
      <c r="AB649" s="223">
        <f t="shared" si="285"/>
        <v>0</v>
      </c>
      <c r="AC649" s="223">
        <f t="shared" si="285"/>
        <v>0</v>
      </c>
      <c r="AD649" s="223">
        <f t="shared" si="285"/>
        <v>0</v>
      </c>
      <c r="AE649" s="223">
        <f t="shared" si="285"/>
        <v>0</v>
      </c>
    </row>
    <row r="650" spans="1:31" ht="56.25" x14ac:dyDescent="0.2">
      <c r="A650" s="227"/>
      <c r="B650" s="227"/>
      <c r="C650" s="228" t="s">
        <v>109</v>
      </c>
      <c r="D650" s="229" t="s">
        <v>595</v>
      </c>
      <c r="E650" s="230" t="s">
        <v>981</v>
      </c>
      <c r="F650" s="231">
        <v>165140</v>
      </c>
      <c r="G650" s="232">
        <f t="shared" si="260"/>
        <v>0.97141176470588231</v>
      </c>
      <c r="H650" s="233">
        <v>166140</v>
      </c>
      <c r="I650" s="234">
        <f>K650</f>
        <v>200000</v>
      </c>
      <c r="J650" s="936">
        <f t="shared" si="261"/>
        <v>1.1764705882352942</v>
      </c>
      <c r="K650" s="241">
        <f>L650+S650+T650</f>
        <v>200000</v>
      </c>
      <c r="L650" s="236">
        <f>SUM(M650:R650)</f>
        <v>200000</v>
      </c>
      <c r="M650" s="236"/>
      <c r="N650" s="236">
        <v>200000</v>
      </c>
      <c r="O650" s="236"/>
      <c r="P650" s="236"/>
      <c r="Q650" s="236"/>
      <c r="R650" s="236"/>
      <c r="S650" s="236"/>
      <c r="T650" s="236">
        <f>SUM(U650:AD650)</f>
        <v>0</v>
      </c>
      <c r="U650" s="236"/>
      <c r="V650" s="236"/>
      <c r="W650" s="236"/>
      <c r="X650" s="236"/>
      <c r="Y650" s="236"/>
      <c r="Z650" s="236"/>
      <c r="AA650" s="236"/>
      <c r="AB650" s="236"/>
      <c r="AC650" s="236"/>
      <c r="AD650" s="236"/>
      <c r="AE650" s="236"/>
    </row>
    <row r="651" spans="1:31" x14ac:dyDescent="0.2">
      <c r="A651" s="227"/>
      <c r="B651" s="227"/>
      <c r="C651" s="228" t="s">
        <v>404</v>
      </c>
      <c r="D651" s="229" t="s">
        <v>405</v>
      </c>
      <c r="E651" s="230" t="s">
        <v>557</v>
      </c>
      <c r="F651" s="231">
        <v>0</v>
      </c>
      <c r="G651" s="232">
        <f t="shared" si="260"/>
        <v>0</v>
      </c>
      <c r="H651" s="233">
        <v>0</v>
      </c>
      <c r="I651" s="234">
        <f t="shared" ref="I651:I656" si="286">K651</f>
        <v>4446</v>
      </c>
      <c r="J651" s="936">
        <f t="shared" si="261"/>
        <v>1.482</v>
      </c>
      <c r="K651" s="241">
        <f t="shared" ref="K651:K656" si="287">L651+S651+T651</f>
        <v>4446</v>
      </c>
      <c r="L651" s="236">
        <f t="shared" ref="L651:L656" si="288">SUM(M651:R651)</f>
        <v>4446</v>
      </c>
      <c r="M651" s="236"/>
      <c r="N651" s="236">
        <f>5814-684-581-103</f>
        <v>4446</v>
      </c>
      <c r="O651" s="236"/>
      <c r="P651" s="236"/>
      <c r="Q651" s="236"/>
      <c r="R651" s="236"/>
      <c r="S651" s="236"/>
      <c r="T651" s="236">
        <f t="shared" ref="T651:T656" si="289">SUM(U651:AD651)</f>
        <v>0</v>
      </c>
      <c r="U651" s="236"/>
      <c r="V651" s="236"/>
      <c r="W651" s="236"/>
      <c r="X651" s="236"/>
      <c r="Y651" s="236"/>
      <c r="Z651" s="236"/>
      <c r="AA651" s="236"/>
      <c r="AB651" s="236"/>
      <c r="AC651" s="236"/>
      <c r="AD651" s="236"/>
      <c r="AE651" s="236"/>
    </row>
    <row r="652" spans="1:31" x14ac:dyDescent="0.2">
      <c r="A652" s="227"/>
      <c r="B652" s="227"/>
      <c r="C652" s="228" t="s">
        <v>407</v>
      </c>
      <c r="D652" s="229" t="s">
        <v>408</v>
      </c>
      <c r="E652" s="230" t="s">
        <v>340</v>
      </c>
      <c r="F652" s="231">
        <v>0</v>
      </c>
      <c r="G652" s="232">
        <f t="shared" si="260"/>
        <v>0</v>
      </c>
      <c r="H652" s="233">
        <v>0</v>
      </c>
      <c r="I652" s="234">
        <f t="shared" si="286"/>
        <v>554</v>
      </c>
      <c r="J652" s="936">
        <f t="shared" si="261"/>
        <v>2.77</v>
      </c>
      <c r="K652" s="241">
        <f t="shared" si="287"/>
        <v>554</v>
      </c>
      <c r="L652" s="236">
        <f t="shared" si="288"/>
        <v>554</v>
      </c>
      <c r="M652" s="236"/>
      <c r="N652" s="236">
        <f>1186-735+103</f>
        <v>554</v>
      </c>
      <c r="O652" s="236"/>
      <c r="P652" s="236"/>
      <c r="Q652" s="236"/>
      <c r="R652" s="236"/>
      <c r="S652" s="236"/>
      <c r="T652" s="236">
        <f t="shared" si="289"/>
        <v>0</v>
      </c>
      <c r="U652" s="236"/>
      <c r="V652" s="236"/>
      <c r="W652" s="236"/>
      <c r="X652" s="236"/>
      <c r="Y652" s="236"/>
      <c r="Z652" s="236"/>
      <c r="AA652" s="236"/>
      <c r="AB652" s="236"/>
      <c r="AC652" s="236"/>
      <c r="AD652" s="236"/>
      <c r="AE652" s="236"/>
    </row>
    <row r="653" spans="1:31" x14ac:dyDescent="0.2">
      <c r="A653" s="227"/>
      <c r="B653" s="227"/>
      <c r="C653" s="228" t="s">
        <v>420</v>
      </c>
      <c r="D653" s="229" t="s">
        <v>421</v>
      </c>
      <c r="E653" s="230" t="s">
        <v>982</v>
      </c>
      <c r="F653" s="231">
        <v>10830</v>
      </c>
      <c r="G653" s="232">
        <f t="shared" si="260"/>
        <v>0.34056603773584904</v>
      </c>
      <c r="H653" s="233">
        <v>31800</v>
      </c>
      <c r="I653" s="234">
        <f t="shared" si="286"/>
        <v>26000</v>
      </c>
      <c r="J653" s="936">
        <f t="shared" si="261"/>
        <v>0.8176100628930818</v>
      </c>
      <c r="K653" s="241">
        <f t="shared" si="287"/>
        <v>26000</v>
      </c>
      <c r="L653" s="236">
        <f t="shared" si="288"/>
        <v>26000</v>
      </c>
      <c r="M653" s="236"/>
      <c r="N653" s="236">
        <f>34000-4000-4000</f>
        <v>26000</v>
      </c>
      <c r="O653" s="236"/>
      <c r="P653" s="236"/>
      <c r="Q653" s="236"/>
      <c r="R653" s="236"/>
      <c r="S653" s="236"/>
      <c r="T653" s="236">
        <f t="shared" si="289"/>
        <v>0</v>
      </c>
      <c r="U653" s="236"/>
      <c r="V653" s="236"/>
      <c r="W653" s="236"/>
      <c r="X653" s="236"/>
      <c r="Y653" s="236"/>
      <c r="Z653" s="236"/>
      <c r="AA653" s="236"/>
      <c r="AB653" s="236"/>
      <c r="AC653" s="236"/>
      <c r="AD653" s="236"/>
      <c r="AE653" s="236"/>
    </row>
    <row r="654" spans="1:31" x14ac:dyDescent="0.2">
      <c r="A654" s="227"/>
      <c r="B654" s="227"/>
      <c r="C654" s="228" t="s">
        <v>410</v>
      </c>
      <c r="D654" s="229" t="s">
        <v>411</v>
      </c>
      <c r="E654" s="230" t="s">
        <v>983</v>
      </c>
      <c r="F654" s="231">
        <v>38207.980000000003</v>
      </c>
      <c r="G654" s="232">
        <f t="shared" si="260"/>
        <v>0.48307883009089092</v>
      </c>
      <c r="H654" s="233">
        <v>79092.639999999999</v>
      </c>
      <c r="I654" s="234">
        <f t="shared" si="286"/>
        <v>77600</v>
      </c>
      <c r="J654" s="936">
        <f t="shared" si="261"/>
        <v>0.98112795324571289</v>
      </c>
      <c r="K654" s="241">
        <f t="shared" si="287"/>
        <v>77600</v>
      </c>
      <c r="L654" s="236">
        <f t="shared" si="288"/>
        <v>77600</v>
      </c>
      <c r="M654" s="236"/>
      <c r="N654" s="236">
        <f>80600-10000</f>
        <v>70600</v>
      </c>
      <c r="O654" s="236"/>
      <c r="P654" s="236"/>
      <c r="Q654" s="236"/>
      <c r="R654" s="236">
        <v>7000</v>
      </c>
      <c r="S654" s="236"/>
      <c r="T654" s="236">
        <f t="shared" si="289"/>
        <v>0</v>
      </c>
      <c r="U654" s="236"/>
      <c r="V654" s="236"/>
      <c r="W654" s="236"/>
      <c r="X654" s="236"/>
      <c r="Y654" s="236"/>
      <c r="Z654" s="236"/>
      <c r="AA654" s="236"/>
      <c r="AB654" s="236"/>
      <c r="AC654" s="236"/>
      <c r="AD654" s="236"/>
      <c r="AE654" s="236"/>
    </row>
    <row r="655" spans="1:31" x14ac:dyDescent="0.2">
      <c r="A655" s="227"/>
      <c r="B655" s="227"/>
      <c r="C655" s="228" t="s">
        <v>413</v>
      </c>
      <c r="D655" s="229" t="s">
        <v>414</v>
      </c>
      <c r="E655" s="230" t="s">
        <v>984</v>
      </c>
      <c r="F655" s="231">
        <v>17342.830000000002</v>
      </c>
      <c r="G655" s="232">
        <f t="shared" si="260"/>
        <v>0.45046311688311691</v>
      </c>
      <c r="H655" s="233">
        <v>38500</v>
      </c>
      <c r="I655" s="234">
        <f t="shared" si="286"/>
        <v>52217.57</v>
      </c>
      <c r="J655" s="936">
        <f t="shared" si="261"/>
        <v>1.3563005194805196</v>
      </c>
      <c r="K655" s="241">
        <f t="shared" si="287"/>
        <v>52217.57</v>
      </c>
      <c r="L655" s="236">
        <f t="shared" si="288"/>
        <v>52217.57</v>
      </c>
      <c r="M655" s="236"/>
      <c r="N655" s="236">
        <f>98800-46582.43</f>
        <v>52217.57</v>
      </c>
      <c r="O655" s="236"/>
      <c r="P655" s="236"/>
      <c r="Q655" s="236"/>
      <c r="R655" s="236"/>
      <c r="S655" s="236"/>
      <c r="T655" s="236">
        <f t="shared" si="289"/>
        <v>0</v>
      </c>
      <c r="U655" s="236"/>
      <c r="V655" s="236"/>
      <c r="W655" s="236"/>
      <c r="X655" s="236"/>
      <c r="Y655" s="236"/>
      <c r="Z655" s="236"/>
      <c r="AA655" s="236"/>
      <c r="AB655" s="236"/>
      <c r="AC655" s="236"/>
      <c r="AD655" s="236"/>
      <c r="AE655" s="236"/>
    </row>
    <row r="656" spans="1:31" x14ac:dyDescent="0.2">
      <c r="A656" s="227"/>
      <c r="B656" s="227"/>
      <c r="C656" s="228" t="s">
        <v>416</v>
      </c>
      <c r="D656" s="229" t="s">
        <v>417</v>
      </c>
      <c r="E656" s="230" t="s">
        <v>985</v>
      </c>
      <c r="F656" s="231">
        <v>3107.84</v>
      </c>
      <c r="G656" s="232">
        <f t="shared" si="260"/>
        <v>0.36562823529411764</v>
      </c>
      <c r="H656" s="233">
        <v>6215.68</v>
      </c>
      <c r="I656" s="234">
        <f t="shared" si="286"/>
        <v>14500</v>
      </c>
      <c r="J656" s="936">
        <f t="shared" si="261"/>
        <v>1.7058823529411764</v>
      </c>
      <c r="K656" s="241">
        <f t="shared" si="287"/>
        <v>14500</v>
      </c>
      <c r="L656" s="256">
        <f t="shared" si="288"/>
        <v>14500</v>
      </c>
      <c r="M656" s="256"/>
      <c r="N656" s="256">
        <v>14500</v>
      </c>
      <c r="O656" s="256"/>
      <c r="P656" s="256"/>
      <c r="Q656" s="256"/>
      <c r="R656" s="256"/>
      <c r="S656" s="256"/>
      <c r="T656" s="256">
        <f t="shared" si="289"/>
        <v>0</v>
      </c>
      <c r="U656" s="256"/>
      <c r="V656" s="256"/>
      <c r="W656" s="256"/>
      <c r="X656" s="256"/>
      <c r="Y656" s="256"/>
      <c r="Z656" s="256"/>
      <c r="AA656" s="256"/>
      <c r="AB656" s="256"/>
      <c r="AC656" s="256"/>
      <c r="AD656" s="256"/>
      <c r="AE656" s="256"/>
    </row>
    <row r="657" spans="1:33" ht="31.5" customHeight="1" x14ac:dyDescent="0.2">
      <c r="A657" s="985" t="s">
        <v>369</v>
      </c>
      <c r="B657" s="985"/>
      <c r="C657" s="985"/>
      <c r="D657" s="985"/>
      <c r="E657" s="330">
        <f>E635+E598+E543+E488+E471+E450+E388+E363+E205+E197+E193+E154+E140+E69+E62+E45+E39+E24+E17+E5</f>
        <v>92892303.060000002</v>
      </c>
      <c r="F657" s="331">
        <f>F635+F598+F543+F488+F471+F450+F388+F363+F205+F197+F193+F154+F140+F69+F62+F45+F39+F24+F17+F5</f>
        <v>65882855.390000001</v>
      </c>
      <c r="G657" s="332">
        <f>F657/E657</f>
        <v>0.7092391212159489</v>
      </c>
      <c r="H657" s="330">
        <f>H635+H598+H543+H488+H471+H450+H388+H363+H205+H197+H193+H154+H140+H69+H62+H45+H39+H24+H17+H5</f>
        <v>91095597.420000002</v>
      </c>
      <c r="I657" s="333">
        <f>I635+I598+I543+I488+I471+I450+I388+I363+I205+I197+I193+I154+I140+I69+I62+I45+I39+I24+I17+I5</f>
        <v>75362267.780000001</v>
      </c>
      <c r="J657" s="944">
        <f>I657/E657</f>
        <v>0.81128646074500721</v>
      </c>
      <c r="K657" s="932">
        <f t="shared" ref="K657:AD657" si="290">K635+K598+K543+K488+K471+K450+K388+K363+K205+K197+K193+K154+K140+K69+K62+K45+K39+K24+K17+K5</f>
        <v>75362267.780000001</v>
      </c>
      <c r="L657" s="334">
        <f t="shared" si="290"/>
        <v>25860513.280000001</v>
      </c>
      <c r="M657" s="334">
        <f t="shared" si="290"/>
        <v>4837239</v>
      </c>
      <c r="N657" s="331">
        <f t="shared" si="290"/>
        <v>6915586.5700000003</v>
      </c>
      <c r="O657" s="334">
        <f t="shared" si="290"/>
        <v>1462079.2</v>
      </c>
      <c r="P657" s="334">
        <f t="shared" si="290"/>
        <v>11764753.399999999</v>
      </c>
      <c r="Q657" s="334">
        <f t="shared" si="290"/>
        <v>470200</v>
      </c>
      <c r="R657" s="334">
        <f t="shared" si="290"/>
        <v>410655.11</v>
      </c>
      <c r="S657" s="331">
        <f t="shared" si="290"/>
        <v>23730822.5</v>
      </c>
      <c r="T657" s="331">
        <f t="shared" si="290"/>
        <v>25770932</v>
      </c>
      <c r="U657" s="334">
        <f t="shared" si="290"/>
        <v>3953509</v>
      </c>
      <c r="V657" s="331">
        <f t="shared" si="290"/>
        <v>6864512</v>
      </c>
      <c r="W657" s="334">
        <f t="shared" si="290"/>
        <v>1462183</v>
      </c>
      <c r="X657" s="334">
        <f t="shared" si="290"/>
        <v>2585394</v>
      </c>
      <c r="Y657" s="331">
        <f t="shared" si="290"/>
        <v>2523927</v>
      </c>
      <c r="Z657" s="334">
        <f t="shared" si="290"/>
        <v>1425457</v>
      </c>
      <c r="AA657" s="331">
        <f t="shared" si="290"/>
        <v>1719883</v>
      </c>
      <c r="AB657" s="331">
        <f t="shared" si="290"/>
        <v>1651113</v>
      </c>
      <c r="AC657" s="334">
        <f t="shared" si="290"/>
        <v>1450720</v>
      </c>
      <c r="AD657" s="334">
        <f t="shared" si="290"/>
        <v>2134234</v>
      </c>
      <c r="AE657" s="331">
        <f>AD657+AC657+AB657+AA657+Z657+Y657+X657+W657+V657+U657+S657+R657+Q657+P657+O657+N657+M657</f>
        <v>75362267.780000001</v>
      </c>
    </row>
    <row r="658" spans="1:33" ht="24.75" customHeight="1" x14ac:dyDescent="0.2">
      <c r="B658" s="335"/>
      <c r="D658" s="336" t="s">
        <v>370</v>
      </c>
      <c r="E658" s="337"/>
      <c r="F658" s="337"/>
      <c r="G658" s="337"/>
      <c r="H658" s="337"/>
      <c r="I658" s="337"/>
      <c r="J658" s="337"/>
      <c r="K658" s="338">
        <f>K659+K672</f>
        <v>75362267.779999986</v>
      </c>
      <c r="L658" s="339">
        <f t="shared" ref="L658:AE658" si="291">L659+L672</f>
        <v>25860513.280000001</v>
      </c>
      <c r="M658" s="339">
        <f t="shared" si="291"/>
        <v>4837239</v>
      </c>
      <c r="N658" s="337">
        <f t="shared" si="291"/>
        <v>6915586.5700000003</v>
      </c>
      <c r="O658" s="339">
        <f t="shared" si="291"/>
        <v>1462079.2</v>
      </c>
      <c r="P658" s="339">
        <f t="shared" si="291"/>
        <v>11764753.399999999</v>
      </c>
      <c r="Q658" s="340">
        <f t="shared" si="291"/>
        <v>470200</v>
      </c>
      <c r="R658" s="339">
        <f>R659+R672</f>
        <v>410655.11</v>
      </c>
      <c r="S658" s="339">
        <f t="shared" si="291"/>
        <v>23730822.5</v>
      </c>
      <c r="T658" s="337">
        <f t="shared" si="291"/>
        <v>25770932</v>
      </c>
      <c r="U658" s="339">
        <f t="shared" si="291"/>
        <v>3953509</v>
      </c>
      <c r="V658" s="340">
        <f t="shared" si="291"/>
        <v>6864512</v>
      </c>
      <c r="W658" s="339">
        <f t="shared" si="291"/>
        <v>1462183</v>
      </c>
      <c r="X658" s="339">
        <f t="shared" si="291"/>
        <v>2585394</v>
      </c>
      <c r="Y658" s="340">
        <f t="shared" si="291"/>
        <v>2523927</v>
      </c>
      <c r="Z658" s="340">
        <f t="shared" si="291"/>
        <v>1425457</v>
      </c>
      <c r="AA658" s="337">
        <f t="shared" si="291"/>
        <v>1719883</v>
      </c>
      <c r="AB658" s="337">
        <f t="shared" si="291"/>
        <v>1651113</v>
      </c>
      <c r="AC658" s="339">
        <f t="shared" si="291"/>
        <v>1450720</v>
      </c>
      <c r="AD658" s="339">
        <f t="shared" si="291"/>
        <v>2134234</v>
      </c>
      <c r="AE658" s="337">
        <f t="shared" si="291"/>
        <v>0</v>
      </c>
    </row>
    <row r="659" spans="1:33" ht="33" customHeight="1" x14ac:dyDescent="0.2">
      <c r="B659" s="335"/>
      <c r="C659" s="341"/>
      <c r="D659" s="342" t="s">
        <v>986</v>
      </c>
      <c r="E659" s="343">
        <f>E660+E663+E664+E665+E666</f>
        <v>74977786.950000003</v>
      </c>
      <c r="F659" s="343">
        <f t="shared" ref="F659:AE659" si="292">F660+F663+F664+F665+F666</f>
        <v>54086157.710000001</v>
      </c>
      <c r="G659" s="344">
        <f>F659/E659</f>
        <v>0.72136241825953229</v>
      </c>
      <c r="H659" s="343">
        <f t="shared" si="292"/>
        <v>74003684.400000006</v>
      </c>
      <c r="I659" s="343">
        <f t="shared" si="292"/>
        <v>72360853.779999986</v>
      </c>
      <c r="J659" s="344">
        <f>I659/E659</f>
        <v>0.96509722043749901</v>
      </c>
      <c r="K659" s="345">
        <f t="shared" si="292"/>
        <v>72360853.779999986</v>
      </c>
      <c r="L659" s="346">
        <f t="shared" si="292"/>
        <v>22902724.280000001</v>
      </c>
      <c r="M659" s="346">
        <f t="shared" si="292"/>
        <v>4477239</v>
      </c>
      <c r="N659" s="343">
        <f t="shared" si="292"/>
        <v>4362797.57</v>
      </c>
      <c r="O659" s="346">
        <f t="shared" si="292"/>
        <v>1442079.2</v>
      </c>
      <c r="P659" s="346">
        <f t="shared" si="292"/>
        <v>11764753.399999999</v>
      </c>
      <c r="Q659" s="347">
        <f t="shared" si="292"/>
        <v>470200</v>
      </c>
      <c r="R659" s="346">
        <f>R660+R663+R664+R665+R666</f>
        <v>385655.11</v>
      </c>
      <c r="S659" s="346">
        <f t="shared" si="292"/>
        <v>23730822.5</v>
      </c>
      <c r="T659" s="343">
        <f t="shared" si="292"/>
        <v>25727307</v>
      </c>
      <c r="U659" s="346">
        <f t="shared" si="292"/>
        <v>3953509</v>
      </c>
      <c r="V659" s="347">
        <f t="shared" si="292"/>
        <v>6844137</v>
      </c>
      <c r="W659" s="346">
        <f t="shared" si="292"/>
        <v>1462183</v>
      </c>
      <c r="X659" s="346">
        <f t="shared" si="292"/>
        <v>2562144</v>
      </c>
      <c r="Y659" s="347">
        <f t="shared" si="292"/>
        <v>2523927</v>
      </c>
      <c r="Z659" s="347">
        <f t="shared" si="292"/>
        <v>1425457</v>
      </c>
      <c r="AA659" s="343">
        <f t="shared" si="292"/>
        <v>1719883</v>
      </c>
      <c r="AB659" s="343">
        <f t="shared" si="292"/>
        <v>1651113</v>
      </c>
      <c r="AC659" s="346">
        <f t="shared" si="292"/>
        <v>1450720</v>
      </c>
      <c r="AD659" s="346">
        <f t="shared" si="292"/>
        <v>2134234</v>
      </c>
      <c r="AE659" s="343">
        <f t="shared" si="292"/>
        <v>0</v>
      </c>
    </row>
    <row r="660" spans="1:33" x14ac:dyDescent="0.2">
      <c r="C660" s="348" t="s">
        <v>373</v>
      </c>
      <c r="D660" s="341" t="s">
        <v>987</v>
      </c>
      <c r="E660" s="349">
        <f>E661+E662</f>
        <v>42617124.660000004</v>
      </c>
      <c r="F660" s="349">
        <f t="shared" ref="F660:AE660" si="293">F661+F662</f>
        <v>29365019.529999994</v>
      </c>
      <c r="G660" s="350">
        <f t="shared" ref="G660:G679" si="294">F660/E660</f>
        <v>0.68904272083756279</v>
      </c>
      <c r="H660" s="349">
        <f t="shared" si="293"/>
        <v>41875911.520000011</v>
      </c>
      <c r="I660" s="349">
        <f t="shared" si="293"/>
        <v>44338282.289999999</v>
      </c>
      <c r="J660" s="351">
        <f>I660/E660</f>
        <v>1.0403865263959362</v>
      </c>
      <c r="K660" s="349">
        <f t="shared" si="293"/>
        <v>44358282.289999999</v>
      </c>
      <c r="L660" s="349">
        <f t="shared" si="293"/>
        <v>15088034.789999999</v>
      </c>
      <c r="M660" s="349">
        <f t="shared" si="293"/>
        <v>3947239</v>
      </c>
      <c r="N660" s="349">
        <f t="shared" si="293"/>
        <v>3753297.5700000003</v>
      </c>
      <c r="O660" s="349">
        <f t="shared" si="293"/>
        <v>977220</v>
      </c>
      <c r="P660" s="349">
        <f t="shared" si="293"/>
        <v>5654923.1099999994</v>
      </c>
      <c r="Q660" s="349">
        <f t="shared" si="293"/>
        <v>369700</v>
      </c>
      <c r="R660" s="349">
        <f t="shared" si="293"/>
        <v>385655.11</v>
      </c>
      <c r="S660" s="349">
        <f t="shared" si="293"/>
        <v>4005976.5</v>
      </c>
      <c r="T660" s="349">
        <f t="shared" si="293"/>
        <v>25264271</v>
      </c>
      <c r="U660" s="349">
        <f t="shared" si="293"/>
        <v>3932390</v>
      </c>
      <c r="V660" s="349">
        <f t="shared" si="293"/>
        <v>6817312</v>
      </c>
      <c r="W660" s="349">
        <f t="shared" si="293"/>
        <v>1397032</v>
      </c>
      <c r="X660" s="349">
        <f t="shared" si="293"/>
        <v>2458230</v>
      </c>
      <c r="Y660" s="349">
        <f t="shared" si="293"/>
        <v>2415194</v>
      </c>
      <c r="Z660" s="349">
        <f t="shared" si="293"/>
        <v>1373850</v>
      </c>
      <c r="AA660" s="349">
        <f t="shared" si="293"/>
        <v>1711120</v>
      </c>
      <c r="AB660" s="349">
        <f t="shared" si="293"/>
        <v>1643452</v>
      </c>
      <c r="AC660" s="349">
        <f t="shared" si="293"/>
        <v>1405807</v>
      </c>
      <c r="AD660" s="349">
        <f t="shared" si="293"/>
        <v>2109884</v>
      </c>
      <c r="AE660" s="349">
        <f t="shared" si="293"/>
        <v>0</v>
      </c>
    </row>
    <row r="661" spans="1:33" ht="22.5" x14ac:dyDescent="0.2">
      <c r="C661" s="352"/>
      <c r="D661" s="353" t="s">
        <v>988</v>
      </c>
      <c r="E661" s="354">
        <f>E653+E652+E651+E639+E638+E637+E632+E629+E628+E609+E608+E607+E602+E601+E592+E591+E590+E575+E574+E573+E565+E556+E555+E554+E553+E552+E531+E530+E529+E528+E524+E523+E522+E511+E510+E509+E508+E496+E495+E494+E493+E492+E477+E476+E475+E474+E441+E440+E439+E426+E424+E423+E422+E421+E397+E396+E395+E393+E375+E374+E373+E367+E353+E350+E347+E333+E332+E331+E321+E320+E319+E318+E309+E308+E307+E306+E295+E294+E293+E292+E291+E273+E272+E271+E270+E269+E250+E249+E248+E247+E246+E233+E232+E231+E230+E213+E212+E211+E210+E209+E185+E184+E183+E163+E162+E161+E149+E148+E147+E144+E143+E142+E138+E124+E123+E122+E121+E120+E114+E113+E92+E90+E89+E88+E87+E75+E74+E73+E72+E67+E64+E20+E19+E13+E12+E11+E513+E394</f>
        <v>24528163.09</v>
      </c>
      <c r="F661" s="354">
        <f>F653+F652+F651+F639+F638+F637+F632+F629+F628+F609+F608+F607+F602+F601+F592+F591+F590+F575+F574+F573+F565+F556+F555+F554+F553+F552+F531+F530+F529+F528+F524+F523+F522+F511+F510+F509+F508+F496+F495+F494+F493+F492+F477+F476+F475+F474+F441+F440+F439+F426+F424+F423+F422+F421+F397+F396+F395+F393+F375+F374+F373+F367+F353+F350+F347+F333+F332+F331+F321+F320+F319+F318+F309+F308+F307+F306+F295+F294+F293+F292+F291+F273+F272+F271+F270+F269+F250+F249+F248+F247+F246+F233+F232+F231+F230+F213+F212+F211+F210+F209+F185+F184+F183+F163+F162+F161+F149+F148+F147+F144+F143+F142+F138+F124+F123+F122+F121+F120+F114+F113+F92+F90+F89+F88+F87+F75+F74+F73+F72+F67+F64+F20+F19+F13+F12+F11+F513+F394</f>
        <v>18122576.629999999</v>
      </c>
      <c r="G661" s="355">
        <f t="shared" si="294"/>
        <v>0.73884768963349223</v>
      </c>
      <c r="H661" s="354">
        <f>H653+H652+H651+H639+H638+H637+H632+H629+H628+H609+H608+H607+H602+H601+H592+H591+H590+H575+H574+H573+H565+H556+H555+H554+H553+H552+H531+H530+H529+H528+H524+H523+H522+H511+H510+H509+H508+H496+H495+H494+H493+H492+H477+H476+H475+H474+H441+H440+H439+H426+H424+H423+H422+H421+H397+H396+H395+H393+H375+H374+H373+H367+H353+H350+H347+H333+H332+H331+H321+H320+H319+H318+H309+H308+H307+H306+H295+H294+H293+H292+H291+H273+H272+H271+H270+H269+H250+H249+H248+H247+H246+H233+H232+H231+H230+H213+H212+H211+H210+H209+H185+H184+H183+H163+H162+H161+H149+H148+H147+H144+H143+H142+H138+H124+H123+H122+H121+H120+H114+H113+H92+H90+H89+H88+H87+H75+H74+H73+H72+H67+H64+H20+H19+H13+H12+H11+H513+H394</f>
        <v>24417602.200000003</v>
      </c>
      <c r="I661" s="354">
        <f>I653+I652+I651+I639+I638+I637+I632+I629+I628+I609+I608+I607+I602+I601+I592+I591+I590+I575+I574+I573+I565+I556+I555+I554+I553+I552+I531+I530+I529+I528+I524+I523+I522+I511+I510+I509+I508+I496+I495+I494+I493+I492+I477+I476+I475+I474+I441+I440+I439+I426+I424+I423+I422+I421+I397+I396+I395+I393+I375+I374+I373+I367+I353+I350+I347+I333+I332+I331+I321+I320+I319+I318+I309+I308+I307+I306+I295+I294+I293+I292+I291+I273+I272+I271+I270+I269+I250+I249+I248+I247+I246+I233+I232+I231+I230+I213+I212+I211+I210+I209+I185+I184+I183+I163+I162+I161+I149+I148+I147+I144+I143+I142+I138+I124+I123+I122+I121+I120+I114+I113+I92+I90+I89+I88+I87+I75+I74+I73+I72+I67+I64+I20+I19+I13+I12+I11+I513+I394</f>
        <v>26095717.109999999</v>
      </c>
      <c r="J661" s="351">
        <f t="shared" ref="J661:J679" si="295">I661/E661</f>
        <v>1.0639083332187678</v>
      </c>
      <c r="K661" s="354">
        <f t="shared" ref="K661:AE661" si="296">K653+K652+K651+K639+K638+K637+K632+K629+K628+K609+K608+K607+K602+K601+K592+K591+K590+K575+K574+K573+K565+K556+K555+K554+K553+K552+K531+K530+K529+K528+K524+K523+K522+K511+K510+K509+K508+K496+K495+K494+K493+K492+K477+K476+K475+K474+K441+K440+K439+K426+K424+K423+K422+K421+K397+K396+K395+K393+K375+K374+K373+K367+K353+K350+K347+K333+K332+K331+K321+K320+K319+K318+K309+K308+K307+K306+K295+K294+K293+K292+K291+K273+K272+K271+K270+K269+K250+K249+K248+K247+K246+K233+K232+K231+K230+K213+K212+K211+K210+K209+K185+K184+K183+K163+K162+K161+K149+K148+K147+K144+K143+K142+K138+K124+K123+K122+K121+K120+K114+K113+K92+K90+K89+K88+K87+K75+K74+K73+K72+K67+K64+K20+K19+K13+K12+K11+K513+K394</f>
        <v>26095717.109999999</v>
      </c>
      <c r="L661" s="354">
        <f t="shared" si="296"/>
        <v>4470798.6099999994</v>
      </c>
      <c r="M661" s="354">
        <f t="shared" si="296"/>
        <v>56469.5</v>
      </c>
      <c r="N661" s="354">
        <f t="shared" si="296"/>
        <v>35500</v>
      </c>
      <c r="O661" s="354">
        <f t="shared" si="296"/>
        <v>0</v>
      </c>
      <c r="P661" s="354">
        <f t="shared" si="296"/>
        <v>4355229.1099999994</v>
      </c>
      <c r="Q661" s="354">
        <f t="shared" si="296"/>
        <v>0</v>
      </c>
      <c r="R661" s="354">
        <f t="shared" si="296"/>
        <v>23600</v>
      </c>
      <c r="S661" s="354">
        <f t="shared" si="296"/>
        <v>1848690.5</v>
      </c>
      <c r="T661" s="354">
        <f t="shared" si="296"/>
        <v>19776228</v>
      </c>
      <c r="U661" s="354">
        <f t="shared" si="296"/>
        <v>3284540</v>
      </c>
      <c r="V661" s="354">
        <f t="shared" si="296"/>
        <v>5541312</v>
      </c>
      <c r="W661" s="354">
        <f t="shared" si="296"/>
        <v>1165414</v>
      </c>
      <c r="X661" s="354">
        <f t="shared" si="296"/>
        <v>2144524</v>
      </c>
      <c r="Y661" s="354">
        <f t="shared" si="296"/>
        <v>2008264</v>
      </c>
      <c r="Z661" s="354">
        <f t="shared" si="296"/>
        <v>1189883</v>
      </c>
      <c r="AA661" s="354">
        <f t="shared" si="296"/>
        <v>1240851</v>
      </c>
      <c r="AB661" s="354">
        <f t="shared" si="296"/>
        <v>1248637</v>
      </c>
      <c r="AC661" s="354">
        <f t="shared" si="296"/>
        <v>1123379</v>
      </c>
      <c r="AD661" s="354">
        <f t="shared" si="296"/>
        <v>829424</v>
      </c>
      <c r="AE661" s="354">
        <f t="shared" si="296"/>
        <v>0</v>
      </c>
    </row>
    <row r="662" spans="1:33" ht="22.5" x14ac:dyDescent="0.2">
      <c r="C662" s="356"/>
      <c r="D662" s="353" t="s">
        <v>989</v>
      </c>
      <c r="E662" s="354">
        <f>E656+E655+E654+E644+E643+E642+E641+E640+E634+E633+E630+E618+E614+E613+E612+E611+E610+E604+E603+E596+E594+E593+E584+E581+E580+E577+E576+E568+E567+E566+E563+E561+E560+E559+E558+E557+E546+E545+E540+E538+E536+E535+E534+E533+E532+E520+E519+E518+E517+E516+E515+E514+E506+E504+E503+E502+E501+E500+E499+E498+E497+E490+E483+E482+E481+E480+E479+E478+E449+E448+E442+E437+E436+E435+E434+E433+E432+E431+E430+E429+E428+E427+E425+E417+E415+E410+E409+E407+E406+E400+E399+E398+E390+E386+E385+E382+E381+E380+E379+E378+E377+E376+E369+E368+E362+E359+E354+E337+E336+E328+E327+E326+E325+E324+E323+E322+E315+E314+E313+E312+E311+E310+E301+E300+E299+E298+E297+E296+E288+E287+E285+E283+E282+E281+E280+E279+E278+E277+E276+E275+E274+E264+E263+E262+E261+E260+E259+E258+E257+E256+E255+E254+E253+E252+E251+E241+E240+E239+E238+E237+E236+E235+E234+E226+E225+E224+E223+E222+E221+E220+E219+E218+E217+E216+E215+E214+E204+E202+E201+E199+E191+E190+E189+E186+E179+E178+E177+E176+E171+E170+E169+E168+E166+E165+E164+E156+E153+E152+E151+E150+E139+E135+E134+E133+E132+E131+E130+E129+E128+E127+E126+E125+E117+E116+E115+E111+E110+E106+E105+E104+E103+E102+E101+E100+E99+E98+E97+E96+E95+E94+E93+E91+E84+E83+E82+E81+E80+E77+E76+E68+E65+E59+E58+E57+E56+E55+E54+E53+E52+E51+E50+E49+E43+E42+E41+E37+E36+E35+E34+E30+E28+E23+E22+E21+E16+E15+E14+E9+E512+E595+E597+E621+E167+E587+E588+E547+E542+E401+E402+E403</f>
        <v>18088961.570000004</v>
      </c>
      <c r="F662" s="354">
        <f t="shared" ref="F662:AE662" si="297">F656+F655+F654+F644+F643+F642+F641+F640+F634+F633+F630+F618+F614+F613+F612+F611+F610+F604+F603+F596+F594+F593+F584+F581+F580+F577+F576+F568+F567+F566+F563+F561+F560+F559+F558+F557+F546+F545+F540+F538+F536+F535+F534+F533+F532+F520+F519+F518+F517+F516+F515+F514+F506+F504+F503+F502+F501+F500+F499+F498+F497+F490+F483+F482+F481+F480+F479+F478+F449+F448+F442+F437+F436+F435+F434+F433+F432+F431+F430+F429+F428+F427+F425+F417+F415+F410+F409+F407+F406+F400+F399+F398+F390+F386+F385+F382+F381+F380+F379+F378+F377+F376+F369+F368+F362+F359+F354+F337+F336+F328+F327+F326+F325+F324+F323+F322+F315+F314+F313+F312+F311+F310+F301+F300+F299+F298+F297+F296+F288+F287+F285+F283+F282+F281+F280+F279+F278+F277+F276+F275+F274+F264+F263+F262+F261+F260+F259+F258+F257+F256+F255+F254+F253+F252+F251+F241+F240+F239+F238+F237+F236+F235+F234+F226+F225+F224+F223+F222+F221+F220+F219+F218+F217+F216+F215+F214+F204+F202+F201+F199+F191+F190+F189+F186+F179+F178+F177+F176+F171+F170+F169+F168+F166+F165+F164+F156+F153+F152+F151+F150+F139+F135+F134+F133+F132+F131+F130+F129+F128+F127+F126+F125+F117+F116+F115+F111+F110+F106+F105+F104+F103+F102+F101+F100+F99+F98+F97+F96+F95+F94+F93+F91+F84+F83+F82+F81+F80+F77+F76+F68+F65+F59+F58+F57+F56+F55+F54+F53+F52+F51+F50+F49+F43+F42+F41+F37+F36+F35+F34+F30+F28+F23+F22+F21+F16+F15+F14+F9+F512+F595+F597+F621+F167+F587+F588+F547+F542+F401+F402+F403</f>
        <v>11242442.899999997</v>
      </c>
      <c r="G662" s="355">
        <f t="shared" si="294"/>
        <v>0.62150847391069963</v>
      </c>
      <c r="H662" s="354">
        <f t="shared" si="297"/>
        <v>17458309.320000004</v>
      </c>
      <c r="I662" s="354">
        <f t="shared" si="297"/>
        <v>18242565.18</v>
      </c>
      <c r="J662" s="351">
        <f t="shared" si="295"/>
        <v>1.0084915659423337</v>
      </c>
      <c r="K662" s="354">
        <f t="shared" si="297"/>
        <v>18262565.18</v>
      </c>
      <c r="L662" s="354">
        <f t="shared" si="297"/>
        <v>10617236.18</v>
      </c>
      <c r="M662" s="354">
        <f t="shared" si="297"/>
        <v>3890769.5</v>
      </c>
      <c r="N662" s="354">
        <f t="shared" si="297"/>
        <v>3717797.5700000003</v>
      </c>
      <c r="O662" s="354">
        <f t="shared" si="297"/>
        <v>977220</v>
      </c>
      <c r="P662" s="354">
        <f t="shared" si="297"/>
        <v>1299694</v>
      </c>
      <c r="Q662" s="354">
        <f t="shared" si="297"/>
        <v>369700</v>
      </c>
      <c r="R662" s="354">
        <f t="shared" si="297"/>
        <v>362055.11</v>
      </c>
      <c r="S662" s="354">
        <f t="shared" si="297"/>
        <v>2157286</v>
      </c>
      <c r="T662" s="354">
        <f t="shared" si="297"/>
        <v>5488043</v>
      </c>
      <c r="U662" s="354">
        <f t="shared" si="297"/>
        <v>647850</v>
      </c>
      <c r="V662" s="354">
        <f t="shared" si="297"/>
        <v>1276000</v>
      </c>
      <c r="W662" s="354">
        <f t="shared" si="297"/>
        <v>231618</v>
      </c>
      <c r="X662" s="354">
        <f t="shared" si="297"/>
        <v>313706</v>
      </c>
      <c r="Y662" s="354">
        <f t="shared" si="297"/>
        <v>406930</v>
      </c>
      <c r="Z662" s="354">
        <f t="shared" si="297"/>
        <v>183967</v>
      </c>
      <c r="AA662" s="354">
        <f t="shared" si="297"/>
        <v>470269</v>
      </c>
      <c r="AB662" s="354">
        <f t="shared" si="297"/>
        <v>394815</v>
      </c>
      <c r="AC662" s="354">
        <f t="shared" si="297"/>
        <v>282428</v>
      </c>
      <c r="AD662" s="354">
        <f t="shared" si="297"/>
        <v>1280460</v>
      </c>
      <c r="AE662" s="354">
        <f t="shared" si="297"/>
        <v>0</v>
      </c>
    </row>
    <row r="663" spans="1:33" x14ac:dyDescent="0.2">
      <c r="C663" s="348" t="s">
        <v>375</v>
      </c>
      <c r="D663" s="341" t="s">
        <v>990</v>
      </c>
      <c r="E663" s="349">
        <f>E650+E626+E620+E617+E606+E600+E572+E551+E452+E446+E384+E372+E371+E342+E341+E304+E267+E266+E243+E207+E182+E159+E47+E26+E7+E335+E244+E586</f>
        <v>6754899.6899999995</v>
      </c>
      <c r="F663" s="349">
        <f>F650+F626+F620+F617+F606+F600+F572+F551+F452+F446+F384+F372+F371+F342+F341+F304+F267+F266+F243+F207+F182+F159+F47+F26+F7+F335+F244+F586</f>
        <v>5376056.1899999995</v>
      </c>
      <c r="G663" s="355">
        <f t="shared" si="294"/>
        <v>0.79587505910098866</v>
      </c>
      <c r="H663" s="349">
        <f>H650+H626+H620+H617+H606+H600+H572+H551+H452+H446+H384+H372+H371+H342+H341+H304+H267+H266+H243+H207+H182+H159+H47+H26+H7+H335+H244+H586</f>
        <v>6663261.5499999998</v>
      </c>
      <c r="I663" s="349">
        <f>I650+I626+I620+I617+I606+I600+I572+I551+I452+I446+I384+I372+I371+I342+I341+I304+I267+I266+I243+I207+I182+I159+I47+I26+I7+I335+I244+I586</f>
        <v>6464640.6900000004</v>
      </c>
      <c r="J663" s="351">
        <f t="shared" si="295"/>
        <v>0.95702985783346262</v>
      </c>
      <c r="K663" s="349">
        <f t="shared" ref="K663:AE663" si="298">K650+K626+K620+K617+K606+K600+K572+K551+K452+K446+K384+K372+K371+K342+K341+K304+K267+K266+K243+K207+K182+K159+K47+K26+K7+K335+K244+K586</f>
        <v>6444640.6900000004</v>
      </c>
      <c r="L663" s="349">
        <f t="shared" si="298"/>
        <v>6444640.6900000004</v>
      </c>
      <c r="M663" s="349">
        <f t="shared" si="298"/>
        <v>150000</v>
      </c>
      <c r="N663" s="349">
        <f t="shared" si="298"/>
        <v>609500</v>
      </c>
      <c r="O663" s="349">
        <f t="shared" si="298"/>
        <v>10000</v>
      </c>
      <c r="P663" s="349">
        <f t="shared" si="298"/>
        <v>5645140.6899999995</v>
      </c>
      <c r="Q663" s="349">
        <f t="shared" si="298"/>
        <v>30000</v>
      </c>
      <c r="R663" s="349">
        <f t="shared" si="298"/>
        <v>0</v>
      </c>
      <c r="S663" s="349">
        <f t="shared" si="298"/>
        <v>0</v>
      </c>
      <c r="T663" s="349">
        <f t="shared" si="298"/>
        <v>0</v>
      </c>
      <c r="U663" s="349">
        <f t="shared" si="298"/>
        <v>0</v>
      </c>
      <c r="V663" s="349">
        <f t="shared" si="298"/>
        <v>0</v>
      </c>
      <c r="W663" s="349">
        <f t="shared" si="298"/>
        <v>0</v>
      </c>
      <c r="X663" s="349">
        <f t="shared" si="298"/>
        <v>0</v>
      </c>
      <c r="Y663" s="349">
        <f t="shared" si="298"/>
        <v>0</v>
      </c>
      <c r="Z663" s="349">
        <f t="shared" si="298"/>
        <v>0</v>
      </c>
      <c r="AA663" s="349">
        <f t="shared" si="298"/>
        <v>0</v>
      </c>
      <c r="AB663" s="349">
        <f t="shared" si="298"/>
        <v>0</v>
      </c>
      <c r="AC663" s="349">
        <f t="shared" si="298"/>
        <v>0</v>
      </c>
      <c r="AD663" s="349">
        <f t="shared" si="298"/>
        <v>0</v>
      </c>
      <c r="AE663" s="349">
        <f t="shared" si="298"/>
        <v>0</v>
      </c>
    </row>
    <row r="664" spans="1:33" x14ac:dyDescent="0.2">
      <c r="C664" s="348" t="s">
        <v>377</v>
      </c>
      <c r="D664" s="357" t="s">
        <v>991</v>
      </c>
      <c r="E664" s="358">
        <f>E526+E507+E491+E487+E485+E473+E444+E420+E418+E414+E412+E330+E317+E305+E290+E268+E245+E229+E208+E188+E160+E146+E137+E119+E86+E79+E71+E527+E392</f>
        <v>23151225.550000001</v>
      </c>
      <c r="F664" s="358">
        <f>F526+F507+F491+F487+F485+F473+F444+F420+F418+F414+F412+F330+F317+F305+F290+F268+F245+F229+F208+F188+F160+F146+F137+F119+F86+F79+F71+F527+F392</f>
        <v>18411715.190000001</v>
      </c>
      <c r="G664" s="355">
        <f t="shared" si="294"/>
        <v>0.79528036864553808</v>
      </c>
      <c r="H664" s="358">
        <f>H526+H507+H491+H487+H485+H473+H444+H420+H418+H414+H412+H330+H317+H305+H290+H268+H245+H229+H208+H188+H160+H146+H137+H119+H86+H79+H71+H527+H392</f>
        <v>23089315.810000002</v>
      </c>
      <c r="I664" s="358">
        <f>I526+I507+I491+I487+I485+I473+I444+I420+I418+I414+I412+I330+I317+I305+I290+I268+I245+I229+I208+I188+I160+I146+I137+I119+I86+I79+I71+I527+I392</f>
        <v>21095241.199999999</v>
      </c>
      <c r="J664" s="351">
        <f t="shared" si="295"/>
        <v>0.9111932823789537</v>
      </c>
      <c r="K664" s="358">
        <f t="shared" ref="K664:AE664" si="299">K526+K507+K491+K487+K485+K473+K444+K420+K418+K414+K412+K330+K317+K305+K290+K268+K245+K229+K208+K188+K160+K146+K137+K119+K86+K79+K71+K527+K392</f>
        <v>21095241.199999999</v>
      </c>
      <c r="L664" s="358">
        <f t="shared" si="299"/>
        <v>907359.2</v>
      </c>
      <c r="M664" s="358">
        <f t="shared" si="299"/>
        <v>380000</v>
      </c>
      <c r="N664" s="358">
        <f t="shared" si="299"/>
        <v>0</v>
      </c>
      <c r="O664" s="358">
        <f t="shared" si="299"/>
        <v>454859.2</v>
      </c>
      <c r="P664" s="358">
        <f t="shared" si="299"/>
        <v>2000</v>
      </c>
      <c r="Q664" s="358">
        <f t="shared" si="299"/>
        <v>70500</v>
      </c>
      <c r="R664" s="358">
        <f t="shared" si="299"/>
        <v>0</v>
      </c>
      <c r="S664" s="358">
        <f t="shared" si="299"/>
        <v>19724846</v>
      </c>
      <c r="T664" s="358">
        <f t="shared" si="299"/>
        <v>463036</v>
      </c>
      <c r="U664" s="358">
        <f t="shared" si="299"/>
        <v>21119</v>
      </c>
      <c r="V664" s="358">
        <f t="shared" si="299"/>
        <v>26825</v>
      </c>
      <c r="W664" s="358">
        <f t="shared" si="299"/>
        <v>65151</v>
      </c>
      <c r="X664" s="358">
        <f t="shared" si="299"/>
        <v>103914</v>
      </c>
      <c r="Y664" s="359">
        <f t="shared" si="299"/>
        <v>108733</v>
      </c>
      <c r="Z664" s="359">
        <f t="shared" si="299"/>
        <v>51607</v>
      </c>
      <c r="AA664" s="359">
        <f t="shared" si="299"/>
        <v>8763</v>
      </c>
      <c r="AB664" s="359">
        <f t="shared" si="299"/>
        <v>7661</v>
      </c>
      <c r="AC664" s="359">
        <f t="shared" si="299"/>
        <v>44913</v>
      </c>
      <c r="AD664" s="359">
        <f t="shared" si="299"/>
        <v>24350</v>
      </c>
      <c r="AE664" s="359">
        <f t="shared" si="299"/>
        <v>0</v>
      </c>
    </row>
    <row r="665" spans="1:33" x14ac:dyDescent="0.2">
      <c r="C665" s="348" t="s">
        <v>380</v>
      </c>
      <c r="D665" s="357" t="s">
        <v>992</v>
      </c>
      <c r="E665" s="359">
        <f>E196+E195</f>
        <v>421400</v>
      </c>
      <c r="F665" s="359">
        <f t="shared" ref="F665:AE665" si="300">F196+F195</f>
        <v>217888.02</v>
      </c>
      <c r="G665" s="355">
        <f t="shared" si="294"/>
        <v>0.51705747508305644</v>
      </c>
      <c r="H665" s="359">
        <f t="shared" si="300"/>
        <v>342058.47</v>
      </c>
      <c r="I665" s="359">
        <f t="shared" si="300"/>
        <v>416000</v>
      </c>
      <c r="J665" s="351">
        <f t="shared" si="295"/>
        <v>0.9871855719031799</v>
      </c>
      <c r="K665" s="359">
        <f t="shared" si="300"/>
        <v>416000</v>
      </c>
      <c r="L665" s="359">
        <f t="shared" si="300"/>
        <v>416000</v>
      </c>
      <c r="M665" s="359">
        <f t="shared" si="300"/>
        <v>0</v>
      </c>
      <c r="N665" s="359">
        <f t="shared" si="300"/>
        <v>0</v>
      </c>
      <c r="O665" s="359">
        <f t="shared" si="300"/>
        <v>0</v>
      </c>
      <c r="P665" s="359">
        <f t="shared" si="300"/>
        <v>416000</v>
      </c>
      <c r="Q665" s="359">
        <f t="shared" si="300"/>
        <v>0</v>
      </c>
      <c r="R665" s="359">
        <f t="shared" si="300"/>
        <v>0</v>
      </c>
      <c r="S665" s="359">
        <f t="shared" si="300"/>
        <v>0</v>
      </c>
      <c r="T665" s="359">
        <f t="shared" si="300"/>
        <v>0</v>
      </c>
      <c r="U665" s="359">
        <f t="shared" si="300"/>
        <v>0</v>
      </c>
      <c r="V665" s="359">
        <f t="shared" si="300"/>
        <v>0</v>
      </c>
      <c r="W665" s="359">
        <f t="shared" si="300"/>
        <v>0</v>
      </c>
      <c r="X665" s="359">
        <f t="shared" si="300"/>
        <v>0</v>
      </c>
      <c r="Y665" s="359">
        <f t="shared" si="300"/>
        <v>0</v>
      </c>
      <c r="Z665" s="359">
        <f t="shared" si="300"/>
        <v>0</v>
      </c>
      <c r="AA665" s="359">
        <f t="shared" si="300"/>
        <v>0</v>
      </c>
      <c r="AB665" s="359">
        <f t="shared" si="300"/>
        <v>0</v>
      </c>
      <c r="AC665" s="359">
        <f t="shared" si="300"/>
        <v>0</v>
      </c>
      <c r="AD665" s="359">
        <f t="shared" si="300"/>
        <v>0</v>
      </c>
      <c r="AE665" s="359">
        <f t="shared" si="300"/>
        <v>0</v>
      </c>
    </row>
    <row r="666" spans="1:33" ht="38.25" x14ac:dyDescent="0.2">
      <c r="C666" s="352" t="s">
        <v>382</v>
      </c>
      <c r="D666" s="357" t="s">
        <v>993</v>
      </c>
      <c r="E666" s="360">
        <f>E668+E669+E671+E670</f>
        <v>2033137.05</v>
      </c>
      <c r="F666" s="360">
        <f t="shared" ref="F666:AE666" si="301">F668+F669+F671+F670</f>
        <v>715478.78</v>
      </c>
      <c r="G666" s="350">
        <f t="shared" si="294"/>
        <v>0.35190878057138353</v>
      </c>
      <c r="H666" s="360">
        <f t="shared" si="301"/>
        <v>2033137.05</v>
      </c>
      <c r="I666" s="360">
        <f t="shared" si="301"/>
        <v>46689.600000000006</v>
      </c>
      <c r="J666" s="361">
        <f t="shared" si="295"/>
        <v>2.2964315169998011E-2</v>
      </c>
      <c r="K666" s="360">
        <f t="shared" si="301"/>
        <v>46689.600000000006</v>
      </c>
      <c r="L666" s="360">
        <f t="shared" si="301"/>
        <v>46689.600000000006</v>
      </c>
      <c r="M666" s="360">
        <f t="shared" si="301"/>
        <v>0</v>
      </c>
      <c r="N666" s="360">
        <f t="shared" si="301"/>
        <v>0</v>
      </c>
      <c r="O666" s="360">
        <f t="shared" si="301"/>
        <v>0</v>
      </c>
      <c r="P666" s="360">
        <f t="shared" si="301"/>
        <v>46689.600000000006</v>
      </c>
      <c r="Q666" s="360">
        <f t="shared" si="301"/>
        <v>0</v>
      </c>
      <c r="R666" s="360">
        <f t="shared" si="301"/>
        <v>0</v>
      </c>
      <c r="S666" s="360">
        <f t="shared" si="301"/>
        <v>0</v>
      </c>
      <c r="T666" s="360">
        <f t="shared" si="301"/>
        <v>0</v>
      </c>
      <c r="U666" s="360">
        <f t="shared" si="301"/>
        <v>0</v>
      </c>
      <c r="V666" s="360">
        <f t="shared" si="301"/>
        <v>0</v>
      </c>
      <c r="W666" s="360">
        <f t="shared" si="301"/>
        <v>0</v>
      </c>
      <c r="X666" s="360">
        <f t="shared" si="301"/>
        <v>0</v>
      </c>
      <c r="Y666" s="360">
        <f t="shared" si="301"/>
        <v>0</v>
      </c>
      <c r="Z666" s="360">
        <f t="shared" si="301"/>
        <v>0</v>
      </c>
      <c r="AA666" s="360">
        <f t="shared" si="301"/>
        <v>0</v>
      </c>
      <c r="AB666" s="360">
        <f t="shared" si="301"/>
        <v>0</v>
      </c>
      <c r="AC666" s="360">
        <f t="shared" si="301"/>
        <v>0</v>
      </c>
      <c r="AD666" s="360">
        <f t="shared" si="301"/>
        <v>0</v>
      </c>
      <c r="AE666" s="360">
        <f t="shared" si="301"/>
        <v>0</v>
      </c>
    </row>
    <row r="667" spans="1:33" x14ac:dyDescent="0.2">
      <c r="C667" s="362"/>
      <c r="D667" s="363" t="s">
        <v>372</v>
      </c>
      <c r="E667" s="364"/>
      <c r="F667" s="364"/>
      <c r="G667" s="344"/>
      <c r="H667" s="364"/>
      <c r="I667" s="364"/>
      <c r="J667" s="351"/>
      <c r="K667" s="365"/>
      <c r="L667" s="364"/>
      <c r="M667" s="364"/>
      <c r="N667" s="364"/>
      <c r="O667" s="364"/>
      <c r="P667" s="364"/>
      <c r="Q667" s="364"/>
      <c r="R667" s="364"/>
      <c r="S667" s="364"/>
      <c r="T667" s="364"/>
      <c r="U667" s="364"/>
      <c r="V667" s="364"/>
      <c r="W667" s="364"/>
      <c r="X667" s="364"/>
      <c r="Y667" s="366"/>
      <c r="Z667" s="364"/>
      <c r="AA667" s="364"/>
      <c r="AB667" s="364"/>
      <c r="AC667" s="364"/>
      <c r="AD667" s="364"/>
      <c r="AE667" s="364"/>
    </row>
    <row r="668" spans="1:33" ht="22.5" x14ac:dyDescent="0.2">
      <c r="C668" s="362"/>
      <c r="D668" s="353" t="s">
        <v>988</v>
      </c>
      <c r="E668" s="367">
        <f>E462+E460+E459+E458+E457+E456+E455+E352+E351+E349+E348+E346+E345</f>
        <v>582468.84000000008</v>
      </c>
      <c r="F668" s="367">
        <f>F462+F460+F459+F458+F457+F456+F455+F352+F351+F349+F348+F346+F345</f>
        <v>312808.03000000003</v>
      </c>
      <c r="G668" s="355">
        <f t="shared" si="294"/>
        <v>0.53703822164976234</v>
      </c>
      <c r="H668" s="367">
        <f>H462+H460+H459+H458+H457+H456+H455+H352+H351+H349+H348+H346+H345</f>
        <v>582468.84000000008</v>
      </c>
      <c r="I668" s="367">
        <f>I462+I460+I459+I458+I457+I456+I455+I352+I351+I349+I348+I346+I345</f>
        <v>38997.380000000005</v>
      </c>
      <c r="J668" s="351">
        <f t="shared" si="295"/>
        <v>6.6951873339696585E-2</v>
      </c>
      <c r="K668" s="368">
        <f t="shared" ref="K668:AE668" si="302">K462+K460+K459+K458+K457+K456+K455+K352+K351+K349+K348+K346+K345</f>
        <v>38997.380000000005</v>
      </c>
      <c r="L668" s="367">
        <f t="shared" si="302"/>
        <v>38997.380000000005</v>
      </c>
      <c r="M668" s="367">
        <f t="shared" si="302"/>
        <v>0</v>
      </c>
      <c r="N668" s="367">
        <f t="shared" si="302"/>
        <v>0</v>
      </c>
      <c r="O668" s="367">
        <f t="shared" si="302"/>
        <v>0</v>
      </c>
      <c r="P668" s="367">
        <f t="shared" si="302"/>
        <v>38997.380000000005</v>
      </c>
      <c r="Q668" s="367">
        <f t="shared" si="302"/>
        <v>0</v>
      </c>
      <c r="R668" s="367">
        <f t="shared" si="302"/>
        <v>0</v>
      </c>
      <c r="S668" s="367">
        <f t="shared" si="302"/>
        <v>0</v>
      </c>
      <c r="T668" s="367">
        <f t="shared" si="302"/>
        <v>0</v>
      </c>
      <c r="U668" s="367">
        <f t="shared" si="302"/>
        <v>0</v>
      </c>
      <c r="V668" s="367">
        <f t="shared" si="302"/>
        <v>0</v>
      </c>
      <c r="W668" s="367">
        <f t="shared" si="302"/>
        <v>0</v>
      </c>
      <c r="X668" s="367">
        <f t="shared" si="302"/>
        <v>0</v>
      </c>
      <c r="Y668" s="369">
        <f t="shared" si="302"/>
        <v>0</v>
      </c>
      <c r="Z668" s="367">
        <f t="shared" si="302"/>
        <v>0</v>
      </c>
      <c r="AA668" s="367">
        <f t="shared" si="302"/>
        <v>0</v>
      </c>
      <c r="AB668" s="367">
        <f t="shared" si="302"/>
        <v>0</v>
      </c>
      <c r="AC668" s="367">
        <f t="shared" si="302"/>
        <v>0</v>
      </c>
      <c r="AD668" s="367">
        <f t="shared" si="302"/>
        <v>0</v>
      </c>
      <c r="AE668" s="367">
        <f t="shared" si="302"/>
        <v>0</v>
      </c>
    </row>
    <row r="669" spans="1:33" ht="22.5" x14ac:dyDescent="0.2">
      <c r="C669" s="362"/>
      <c r="D669" s="353" t="s">
        <v>989</v>
      </c>
      <c r="E669" s="367">
        <f>E470+E469+E468+E467+E466+E465+E464+E463+E361+E360+E358+E357+E356+E355+E461</f>
        <v>989074.09999999986</v>
      </c>
      <c r="F669" s="367">
        <f>F470+F469+F468+F467+F466+F465+F464+F463+F361+F360+F358+F357+F356+F355+F461</f>
        <v>247670.72</v>
      </c>
      <c r="G669" s="355">
        <f t="shared" si="294"/>
        <v>0.25040663788486628</v>
      </c>
      <c r="H669" s="367">
        <f>H470+H469+H468+H467+H466+H465+H464+H463+H361+H360+H358+H357+H356+H355+H461</f>
        <v>989074.09999999986</v>
      </c>
      <c r="I669" s="367">
        <f>I470+I469+I468+I467+I466+I465+I464+I463+I361+I360+I358+I357+I356+I355+I461</f>
        <v>0</v>
      </c>
      <c r="J669" s="351">
        <f t="shared" si="295"/>
        <v>0</v>
      </c>
      <c r="K669" s="368">
        <f t="shared" ref="K669:AE669" si="303">K470+K469+K468+K467+K466+K465+K464+K463+K361+K360+K358+K357+K356+K355+K461</f>
        <v>0</v>
      </c>
      <c r="L669" s="367">
        <f t="shared" si="303"/>
        <v>0</v>
      </c>
      <c r="M669" s="367">
        <f t="shared" si="303"/>
        <v>0</v>
      </c>
      <c r="N669" s="367">
        <f t="shared" si="303"/>
        <v>0</v>
      </c>
      <c r="O669" s="367">
        <f t="shared" si="303"/>
        <v>0</v>
      </c>
      <c r="P669" s="367">
        <f t="shared" si="303"/>
        <v>0</v>
      </c>
      <c r="Q669" s="367">
        <f t="shared" si="303"/>
        <v>0</v>
      </c>
      <c r="R669" s="367">
        <f t="shared" si="303"/>
        <v>0</v>
      </c>
      <c r="S669" s="367">
        <f t="shared" si="303"/>
        <v>0</v>
      </c>
      <c r="T669" s="367">
        <f t="shared" si="303"/>
        <v>0</v>
      </c>
      <c r="U669" s="367">
        <f t="shared" si="303"/>
        <v>0</v>
      </c>
      <c r="V669" s="367">
        <f t="shared" si="303"/>
        <v>0</v>
      </c>
      <c r="W669" s="367">
        <f t="shared" si="303"/>
        <v>0</v>
      </c>
      <c r="X669" s="367">
        <f t="shared" si="303"/>
        <v>0</v>
      </c>
      <c r="Y669" s="369">
        <f t="shared" si="303"/>
        <v>0</v>
      </c>
      <c r="Z669" s="367">
        <f t="shared" si="303"/>
        <v>0</v>
      </c>
      <c r="AA669" s="367">
        <f t="shared" si="303"/>
        <v>0</v>
      </c>
      <c r="AB669" s="367">
        <f t="shared" si="303"/>
        <v>0</v>
      </c>
      <c r="AC669" s="367">
        <f t="shared" si="303"/>
        <v>0</v>
      </c>
      <c r="AD669" s="367">
        <f t="shared" si="303"/>
        <v>0</v>
      </c>
      <c r="AE669" s="367">
        <f t="shared" si="303"/>
        <v>0</v>
      </c>
    </row>
    <row r="670" spans="1:33" x14ac:dyDescent="0.2">
      <c r="C670" s="362"/>
      <c r="D670" s="353" t="s">
        <v>994</v>
      </c>
      <c r="E670" s="367">
        <f>E339+E340</f>
        <v>182718</v>
      </c>
      <c r="F670" s="367">
        <f>F339+F340</f>
        <v>18000</v>
      </c>
      <c r="G670" s="355">
        <f t="shared" si="294"/>
        <v>9.8512461826421038E-2</v>
      </c>
      <c r="H670" s="367">
        <f>H339+H340</f>
        <v>182718</v>
      </c>
      <c r="I670" s="367">
        <f>I339+I340</f>
        <v>7692.22</v>
      </c>
      <c r="J670" s="351">
        <f t="shared" si="295"/>
        <v>4.2098862728357361E-2</v>
      </c>
      <c r="K670" s="368">
        <f t="shared" ref="K670:AE670" si="304">K339+K340</f>
        <v>7692.22</v>
      </c>
      <c r="L670" s="367">
        <f t="shared" si="304"/>
        <v>7692.22</v>
      </c>
      <c r="M670" s="367">
        <f t="shared" si="304"/>
        <v>0</v>
      </c>
      <c r="N670" s="367">
        <f t="shared" si="304"/>
        <v>0</v>
      </c>
      <c r="O670" s="367">
        <f t="shared" si="304"/>
        <v>0</v>
      </c>
      <c r="P670" s="367">
        <f t="shared" si="304"/>
        <v>7692.22</v>
      </c>
      <c r="Q670" s="367">
        <f t="shared" si="304"/>
        <v>0</v>
      </c>
      <c r="R670" s="367">
        <f t="shared" si="304"/>
        <v>0</v>
      </c>
      <c r="S670" s="367">
        <f t="shared" si="304"/>
        <v>0</v>
      </c>
      <c r="T670" s="367">
        <f t="shared" si="304"/>
        <v>0</v>
      </c>
      <c r="U670" s="367">
        <f t="shared" si="304"/>
        <v>0</v>
      </c>
      <c r="V670" s="367">
        <f t="shared" si="304"/>
        <v>0</v>
      </c>
      <c r="W670" s="367">
        <f t="shared" si="304"/>
        <v>0</v>
      </c>
      <c r="X670" s="367">
        <f t="shared" si="304"/>
        <v>0</v>
      </c>
      <c r="Y670" s="369">
        <f t="shared" si="304"/>
        <v>0</v>
      </c>
      <c r="Z670" s="367">
        <f t="shared" si="304"/>
        <v>0</v>
      </c>
      <c r="AA670" s="367">
        <f t="shared" si="304"/>
        <v>0</v>
      </c>
      <c r="AB670" s="367">
        <f t="shared" si="304"/>
        <v>0</v>
      </c>
      <c r="AC670" s="367">
        <f t="shared" si="304"/>
        <v>0</v>
      </c>
      <c r="AD670" s="367">
        <f t="shared" si="304"/>
        <v>0</v>
      </c>
      <c r="AE670" s="367">
        <f t="shared" si="304"/>
        <v>0</v>
      </c>
    </row>
    <row r="671" spans="1:33" x14ac:dyDescent="0.2">
      <c r="C671" s="356"/>
      <c r="D671" s="353" t="s">
        <v>995</v>
      </c>
      <c r="E671" s="367">
        <f>E454+E453+E343+E344</f>
        <v>278876.11000000004</v>
      </c>
      <c r="F671" s="367">
        <f>F454+F453+F343+F344</f>
        <v>137000.03</v>
      </c>
      <c r="G671" s="355">
        <f t="shared" si="294"/>
        <v>0.49125767710973872</v>
      </c>
      <c r="H671" s="367">
        <f>H454+H453+H343+H344</f>
        <v>278876.11000000004</v>
      </c>
      <c r="I671" s="367">
        <f>I454+I453+I343+I344</f>
        <v>0</v>
      </c>
      <c r="J671" s="351">
        <f t="shared" si="295"/>
        <v>0</v>
      </c>
      <c r="K671" s="368">
        <f t="shared" ref="K671:AE671" si="305">K454+K453+K343+K344</f>
        <v>0</v>
      </c>
      <c r="L671" s="367">
        <f t="shared" si="305"/>
        <v>0</v>
      </c>
      <c r="M671" s="367">
        <f t="shared" si="305"/>
        <v>0</v>
      </c>
      <c r="N671" s="367">
        <f t="shared" si="305"/>
        <v>0</v>
      </c>
      <c r="O671" s="367">
        <f t="shared" si="305"/>
        <v>0</v>
      </c>
      <c r="P671" s="367">
        <f t="shared" si="305"/>
        <v>0</v>
      </c>
      <c r="Q671" s="367">
        <f t="shared" si="305"/>
        <v>0</v>
      </c>
      <c r="R671" s="367">
        <f t="shared" si="305"/>
        <v>0</v>
      </c>
      <c r="S671" s="367">
        <f t="shared" si="305"/>
        <v>0</v>
      </c>
      <c r="T671" s="367">
        <f t="shared" si="305"/>
        <v>0</v>
      </c>
      <c r="U671" s="367">
        <f t="shared" si="305"/>
        <v>0</v>
      </c>
      <c r="V671" s="367">
        <f t="shared" si="305"/>
        <v>0</v>
      </c>
      <c r="W671" s="367">
        <f t="shared" si="305"/>
        <v>0</v>
      </c>
      <c r="X671" s="367">
        <f t="shared" si="305"/>
        <v>0</v>
      </c>
      <c r="Y671" s="369">
        <f t="shared" si="305"/>
        <v>0</v>
      </c>
      <c r="Z671" s="367">
        <f t="shared" si="305"/>
        <v>0</v>
      </c>
      <c r="AA671" s="367">
        <f t="shared" si="305"/>
        <v>0</v>
      </c>
      <c r="AB671" s="367">
        <f t="shared" si="305"/>
        <v>0</v>
      </c>
      <c r="AC671" s="367">
        <f t="shared" si="305"/>
        <v>0</v>
      </c>
      <c r="AD671" s="367">
        <f t="shared" si="305"/>
        <v>0</v>
      </c>
      <c r="AE671" s="367">
        <f t="shared" si="305"/>
        <v>0</v>
      </c>
      <c r="AG671" s="945"/>
    </row>
    <row r="672" spans="1:33" ht="34.5" customHeight="1" x14ac:dyDescent="0.2">
      <c r="C672" s="348"/>
      <c r="D672" s="370" t="s">
        <v>996</v>
      </c>
      <c r="E672" s="343">
        <f>E674+E675+E676+E677</f>
        <v>17914516.109999999</v>
      </c>
      <c r="F672" s="343">
        <f t="shared" ref="F672:AE672" si="306">F674+F675+F676+F677</f>
        <v>11796697.68</v>
      </c>
      <c r="G672" s="344">
        <f t="shared" si="294"/>
        <v>0.6584993760124509</v>
      </c>
      <c r="H672" s="343">
        <f t="shared" si="306"/>
        <v>17091913.020000003</v>
      </c>
      <c r="I672" s="343">
        <f t="shared" si="306"/>
        <v>3001414</v>
      </c>
      <c r="J672" s="371">
        <f t="shared" si="295"/>
        <v>0.16754089150778631</v>
      </c>
      <c r="K672" s="343">
        <f t="shared" si="306"/>
        <v>3001414</v>
      </c>
      <c r="L672" s="343">
        <f t="shared" si="306"/>
        <v>2957789</v>
      </c>
      <c r="M672" s="343">
        <f t="shared" si="306"/>
        <v>360000</v>
      </c>
      <c r="N672" s="343">
        <f t="shared" si="306"/>
        <v>2552789</v>
      </c>
      <c r="O672" s="343">
        <f t="shared" si="306"/>
        <v>20000</v>
      </c>
      <c r="P672" s="343">
        <f t="shared" si="306"/>
        <v>0</v>
      </c>
      <c r="Q672" s="343">
        <f t="shared" si="306"/>
        <v>0</v>
      </c>
      <c r="R672" s="343">
        <f t="shared" si="306"/>
        <v>25000</v>
      </c>
      <c r="S672" s="343">
        <f t="shared" si="306"/>
        <v>0</v>
      </c>
      <c r="T672" s="343">
        <f t="shared" si="306"/>
        <v>43625</v>
      </c>
      <c r="U672" s="343">
        <f t="shared" si="306"/>
        <v>0</v>
      </c>
      <c r="V672" s="343">
        <f t="shared" si="306"/>
        <v>20375</v>
      </c>
      <c r="W672" s="343">
        <f t="shared" si="306"/>
        <v>0</v>
      </c>
      <c r="X672" s="343">
        <f t="shared" si="306"/>
        <v>23250</v>
      </c>
      <c r="Y672" s="343">
        <f t="shared" si="306"/>
        <v>0</v>
      </c>
      <c r="Z672" s="343">
        <f>Z674+Z675+Z676+Z677</f>
        <v>0</v>
      </c>
      <c r="AA672" s="343">
        <f t="shared" si="306"/>
        <v>0</v>
      </c>
      <c r="AB672" s="343">
        <f t="shared" si="306"/>
        <v>0</v>
      </c>
      <c r="AC672" s="343">
        <f t="shared" si="306"/>
        <v>0</v>
      </c>
      <c r="AD672" s="343">
        <f t="shared" si="306"/>
        <v>0</v>
      </c>
      <c r="AE672" s="343">
        <f t="shared" si="306"/>
        <v>0</v>
      </c>
    </row>
    <row r="673" spans="3:31" x14ac:dyDescent="0.2">
      <c r="C673" s="372"/>
      <c r="D673" s="373" t="s">
        <v>372</v>
      </c>
      <c r="E673" s="364"/>
      <c r="F673" s="364"/>
      <c r="G673" s="344"/>
      <c r="H673" s="364"/>
      <c r="I673" s="364"/>
      <c r="J673" s="351"/>
      <c r="K673" s="365"/>
      <c r="L673" s="364"/>
      <c r="M673" s="364"/>
      <c r="N673" s="364"/>
      <c r="O673" s="364"/>
      <c r="P673" s="364"/>
      <c r="Q673" s="364"/>
      <c r="R673" s="364"/>
      <c r="S673" s="364"/>
      <c r="T673" s="364"/>
      <c r="U673" s="364"/>
      <c r="V673" s="364"/>
      <c r="W673" s="364"/>
      <c r="X673" s="364"/>
      <c r="Y673" s="364"/>
      <c r="Z673" s="364"/>
      <c r="AA673" s="364"/>
      <c r="AB673" s="364"/>
      <c r="AC673" s="364"/>
      <c r="AD673" s="364"/>
      <c r="AE673" s="364"/>
    </row>
    <row r="674" spans="3:31" x14ac:dyDescent="0.2">
      <c r="C674" s="374" t="s">
        <v>373</v>
      </c>
      <c r="D674" s="375" t="s">
        <v>997</v>
      </c>
      <c r="E674" s="376">
        <f>E578+E570+E549+E174+E32+E365</f>
        <v>728964.64</v>
      </c>
      <c r="F674" s="376">
        <f>F578+F570+F549+F174+F32+F365</f>
        <v>568935.76</v>
      </c>
      <c r="G674" s="350">
        <f t="shared" si="294"/>
        <v>0.780470997879952</v>
      </c>
      <c r="H674" s="376">
        <f>H578+H570+H549+H174+H32+H365</f>
        <v>667268.76</v>
      </c>
      <c r="I674" s="376">
        <f>I578+I570+I549+I174+I32+I365</f>
        <v>160000</v>
      </c>
      <c r="J674" s="361">
        <f t="shared" si="295"/>
        <v>0.21948938428618431</v>
      </c>
      <c r="K674" s="377">
        <f t="shared" ref="K674:AE674" si="307">K578+K570+K549+K174+K32+K365</f>
        <v>160000</v>
      </c>
      <c r="L674" s="376">
        <f t="shared" si="307"/>
        <v>160000</v>
      </c>
      <c r="M674" s="376">
        <f t="shared" si="307"/>
        <v>160000</v>
      </c>
      <c r="N674" s="376">
        <f t="shared" si="307"/>
        <v>0</v>
      </c>
      <c r="O674" s="376">
        <f t="shared" si="307"/>
        <v>0</v>
      </c>
      <c r="P674" s="376">
        <f t="shared" si="307"/>
        <v>0</v>
      </c>
      <c r="Q674" s="376">
        <f t="shared" si="307"/>
        <v>0</v>
      </c>
      <c r="R674" s="376">
        <f t="shared" si="307"/>
        <v>0</v>
      </c>
      <c r="S674" s="376">
        <f t="shared" si="307"/>
        <v>0</v>
      </c>
      <c r="T674" s="376">
        <f t="shared" si="307"/>
        <v>0</v>
      </c>
      <c r="U674" s="376">
        <f t="shared" si="307"/>
        <v>0</v>
      </c>
      <c r="V674" s="376">
        <f t="shared" si="307"/>
        <v>0</v>
      </c>
      <c r="W674" s="376">
        <f t="shared" si="307"/>
        <v>0</v>
      </c>
      <c r="X674" s="376">
        <f t="shared" si="307"/>
        <v>0</v>
      </c>
      <c r="Y674" s="376">
        <f t="shared" si="307"/>
        <v>0</v>
      </c>
      <c r="Z674" s="376">
        <f t="shared" si="307"/>
        <v>0</v>
      </c>
      <c r="AA674" s="376">
        <f t="shared" si="307"/>
        <v>0</v>
      </c>
      <c r="AB674" s="376">
        <f t="shared" si="307"/>
        <v>0</v>
      </c>
      <c r="AC674" s="376">
        <f t="shared" si="307"/>
        <v>0</v>
      </c>
      <c r="AD674" s="376">
        <f t="shared" si="307"/>
        <v>0</v>
      </c>
      <c r="AE674" s="376">
        <f t="shared" si="307"/>
        <v>0</v>
      </c>
    </row>
    <row r="675" spans="3:31" x14ac:dyDescent="0.2">
      <c r="C675" s="374" t="s">
        <v>375</v>
      </c>
      <c r="D675" s="375" t="s">
        <v>1037</v>
      </c>
      <c r="E675" s="376">
        <f>E648+E387+E302+E192+E173+E108+E61+E44+E180</f>
        <v>393550</v>
      </c>
      <c r="F675" s="376">
        <f>F648+F387+F302+F192+F173+F108+F61+F44+F180</f>
        <v>242013.25</v>
      </c>
      <c r="G675" s="350">
        <f t="shared" si="294"/>
        <v>0.61494918053614533</v>
      </c>
      <c r="H675" s="376">
        <f>H648+H387+H302+H192+H173+H108+H61+H44+H180</f>
        <v>384913.25</v>
      </c>
      <c r="I675" s="376">
        <f>I648+I387+I302+I192+I173+I108+I61+I44+I180</f>
        <v>220000</v>
      </c>
      <c r="J675" s="361">
        <f t="shared" si="295"/>
        <v>0.55901410240121963</v>
      </c>
      <c r="K675" s="376">
        <f t="shared" ref="K675:AE675" si="308">K648+K387+K302+K192+K173+K108+K61+K44+K180</f>
        <v>220000</v>
      </c>
      <c r="L675" s="376">
        <f t="shared" si="308"/>
        <v>220000</v>
      </c>
      <c r="M675" s="376">
        <f t="shared" si="308"/>
        <v>200000</v>
      </c>
      <c r="N675" s="376">
        <f t="shared" si="308"/>
        <v>0</v>
      </c>
      <c r="O675" s="376">
        <f t="shared" si="308"/>
        <v>20000</v>
      </c>
      <c r="P675" s="376">
        <f t="shared" si="308"/>
        <v>0</v>
      </c>
      <c r="Q675" s="376">
        <f t="shared" si="308"/>
        <v>0</v>
      </c>
      <c r="R675" s="376">
        <f t="shared" si="308"/>
        <v>0</v>
      </c>
      <c r="S675" s="376">
        <f t="shared" si="308"/>
        <v>0</v>
      </c>
      <c r="T675" s="376">
        <f t="shared" si="308"/>
        <v>0</v>
      </c>
      <c r="U675" s="376">
        <f t="shared" si="308"/>
        <v>0</v>
      </c>
      <c r="V675" s="376">
        <f t="shared" si="308"/>
        <v>0</v>
      </c>
      <c r="W675" s="376">
        <f t="shared" si="308"/>
        <v>0</v>
      </c>
      <c r="X675" s="376">
        <f t="shared" si="308"/>
        <v>0</v>
      </c>
      <c r="Y675" s="376">
        <f t="shared" si="308"/>
        <v>0</v>
      </c>
      <c r="Z675" s="376">
        <f t="shared" si="308"/>
        <v>0</v>
      </c>
      <c r="AA675" s="376">
        <f t="shared" si="308"/>
        <v>0</v>
      </c>
      <c r="AB675" s="376">
        <f t="shared" si="308"/>
        <v>0</v>
      </c>
      <c r="AC675" s="376">
        <f t="shared" si="308"/>
        <v>0</v>
      </c>
      <c r="AD675" s="376">
        <f t="shared" si="308"/>
        <v>0</v>
      </c>
      <c r="AE675" s="376">
        <f t="shared" si="308"/>
        <v>0</v>
      </c>
    </row>
    <row r="676" spans="3:31" hidden="1" x14ac:dyDescent="0.2">
      <c r="C676" s="374" t="s">
        <v>377</v>
      </c>
      <c r="D676" s="375" t="s">
        <v>1032</v>
      </c>
      <c r="E676" s="376" t="str">
        <f>E157</f>
        <v>0,00</v>
      </c>
      <c r="F676" s="376">
        <f>F157</f>
        <v>0</v>
      </c>
      <c r="G676" s="350"/>
      <c r="H676" s="376">
        <f>H157</f>
        <v>0</v>
      </c>
      <c r="I676" s="376">
        <f>I157</f>
        <v>0</v>
      </c>
      <c r="J676" s="361">
        <v>0</v>
      </c>
      <c r="K676" s="377">
        <f t="shared" ref="K676:AE676" si="309">K157</f>
        <v>0</v>
      </c>
      <c r="L676" s="376">
        <f t="shared" si="309"/>
        <v>0</v>
      </c>
      <c r="M676" s="376">
        <f t="shared" si="309"/>
        <v>0</v>
      </c>
      <c r="N676" s="376">
        <f t="shared" si="309"/>
        <v>0</v>
      </c>
      <c r="O676" s="376">
        <f t="shared" si="309"/>
        <v>0</v>
      </c>
      <c r="P676" s="376">
        <f t="shared" si="309"/>
        <v>0</v>
      </c>
      <c r="Q676" s="376">
        <f t="shared" si="309"/>
        <v>0</v>
      </c>
      <c r="R676" s="376">
        <f t="shared" si="309"/>
        <v>0</v>
      </c>
      <c r="S676" s="376">
        <f t="shared" si="309"/>
        <v>0</v>
      </c>
      <c r="T676" s="376">
        <f t="shared" si="309"/>
        <v>0</v>
      </c>
      <c r="U676" s="376">
        <f t="shared" si="309"/>
        <v>0</v>
      </c>
      <c r="V676" s="376">
        <f t="shared" si="309"/>
        <v>0</v>
      </c>
      <c r="W676" s="376">
        <f t="shared" si="309"/>
        <v>0</v>
      </c>
      <c r="X676" s="376">
        <f t="shared" si="309"/>
        <v>0</v>
      </c>
      <c r="Y676" s="376">
        <f t="shared" si="309"/>
        <v>0</v>
      </c>
      <c r="Z676" s="376">
        <f t="shared" si="309"/>
        <v>0</v>
      </c>
      <c r="AA676" s="376">
        <f t="shared" si="309"/>
        <v>0</v>
      </c>
      <c r="AB676" s="376">
        <f t="shared" si="309"/>
        <v>0</v>
      </c>
      <c r="AC676" s="376">
        <f t="shared" si="309"/>
        <v>0</v>
      </c>
      <c r="AD676" s="376">
        <f t="shared" si="309"/>
        <v>0</v>
      </c>
      <c r="AE676" s="376">
        <f t="shared" si="309"/>
        <v>0</v>
      </c>
    </row>
    <row r="677" spans="3:31" x14ac:dyDescent="0.2">
      <c r="C677" s="374" t="s">
        <v>377</v>
      </c>
      <c r="D677" s="378" t="s">
        <v>998</v>
      </c>
      <c r="E677" s="376">
        <f>E647+E646+E645+E624+E623+E622+E615+E548+E227+E172+E107+E60+E38+E404+E582</f>
        <v>16792001.469999999</v>
      </c>
      <c r="F677" s="376">
        <f>F647+F646+F645+F624+F623+F622+F615+F548+F227+F172+F107+F60+F38+F404+F582</f>
        <v>10985748.67</v>
      </c>
      <c r="G677" s="350">
        <f t="shared" si="294"/>
        <v>0.65422508982188654</v>
      </c>
      <c r="H677" s="376">
        <f>H647+H646+H645+H624+H623+H622+H615+H548+H227+H172+H107+H60+H38+H404+H582</f>
        <v>16039731.010000002</v>
      </c>
      <c r="I677" s="376">
        <f>I647+I646+I645+I624+I623+I622+I615+I548+I227+I172+I107+I60+I38+I404+I582</f>
        <v>2621414</v>
      </c>
      <c r="J677" s="361">
        <f t="shared" si="295"/>
        <v>0.15611087247004632</v>
      </c>
      <c r="K677" s="377">
        <f t="shared" ref="K677:AE677" si="310">K647+K646+K645+K624+K623+K622+K615+K548+K227+K172+K107+K60+K38+K404+K582</f>
        <v>2621414</v>
      </c>
      <c r="L677" s="376">
        <f t="shared" si="310"/>
        <v>2577789</v>
      </c>
      <c r="M677" s="376">
        <f t="shared" si="310"/>
        <v>0</v>
      </c>
      <c r="N677" s="376">
        <f t="shared" si="310"/>
        <v>2552789</v>
      </c>
      <c r="O677" s="376">
        <f t="shared" si="310"/>
        <v>0</v>
      </c>
      <c r="P677" s="376">
        <f t="shared" si="310"/>
        <v>0</v>
      </c>
      <c r="Q677" s="376">
        <f t="shared" si="310"/>
        <v>0</v>
      </c>
      <c r="R677" s="376">
        <f t="shared" si="310"/>
        <v>25000</v>
      </c>
      <c r="S677" s="376">
        <f t="shared" si="310"/>
        <v>0</v>
      </c>
      <c r="T677" s="376">
        <f t="shared" si="310"/>
        <v>43625</v>
      </c>
      <c r="U677" s="376">
        <f t="shared" si="310"/>
        <v>0</v>
      </c>
      <c r="V677" s="376">
        <f t="shared" si="310"/>
        <v>20375</v>
      </c>
      <c r="W677" s="376">
        <f t="shared" si="310"/>
        <v>0</v>
      </c>
      <c r="X677" s="376">
        <f t="shared" si="310"/>
        <v>23250</v>
      </c>
      <c r="Y677" s="376">
        <f t="shared" si="310"/>
        <v>0</v>
      </c>
      <c r="Z677" s="376">
        <f t="shared" si="310"/>
        <v>0</v>
      </c>
      <c r="AA677" s="376">
        <f t="shared" si="310"/>
        <v>0</v>
      </c>
      <c r="AB677" s="376">
        <f t="shared" si="310"/>
        <v>0</v>
      </c>
      <c r="AC677" s="376">
        <f t="shared" si="310"/>
        <v>0</v>
      </c>
      <c r="AD677" s="376">
        <f t="shared" si="310"/>
        <v>0</v>
      </c>
      <c r="AE677" s="376">
        <f t="shared" si="310"/>
        <v>0</v>
      </c>
    </row>
    <row r="678" spans="3:31" x14ac:dyDescent="0.2">
      <c r="C678" s="379"/>
      <c r="D678" s="380" t="s">
        <v>372</v>
      </c>
      <c r="E678" s="381"/>
      <c r="F678" s="381"/>
      <c r="G678" s="350"/>
      <c r="H678" s="381"/>
      <c r="I678" s="381"/>
      <c r="J678" s="361"/>
      <c r="K678" s="365"/>
      <c r="L678" s="381"/>
      <c r="M678" s="381"/>
      <c r="N678" s="381"/>
      <c r="O678" s="381"/>
      <c r="P678" s="381"/>
      <c r="Q678" s="381"/>
      <c r="R678" s="381"/>
      <c r="S678" s="381"/>
      <c r="T678" s="381"/>
      <c r="U678" s="381"/>
      <c r="V678" s="381"/>
      <c r="W678" s="381"/>
      <c r="X678" s="381"/>
      <c r="Y678" s="381"/>
      <c r="Z678" s="381"/>
      <c r="AA678" s="381"/>
      <c r="AB678" s="381"/>
      <c r="AC678" s="381"/>
      <c r="AD678" s="381"/>
      <c r="AE678" s="381"/>
    </row>
    <row r="679" spans="3:31" ht="33.75" x14ac:dyDescent="0.2">
      <c r="C679" s="356"/>
      <c r="D679" s="382" t="s">
        <v>1038</v>
      </c>
      <c r="E679" s="376">
        <f>E647+E646+E624+E623</f>
        <v>8549025.5500000007</v>
      </c>
      <c r="F679" s="376">
        <f t="shared" ref="F679:AE679" si="311">F647+F646+F624+F623</f>
        <v>8028766.9399999995</v>
      </c>
      <c r="G679" s="350">
        <f t="shared" si="294"/>
        <v>0.9391441039733468</v>
      </c>
      <c r="H679" s="376">
        <f t="shared" si="311"/>
        <v>8544119.9800000004</v>
      </c>
      <c r="I679" s="376">
        <f t="shared" si="311"/>
        <v>0</v>
      </c>
      <c r="J679" s="361">
        <f t="shared" si="295"/>
        <v>0</v>
      </c>
      <c r="K679" s="377">
        <f t="shared" si="311"/>
        <v>0</v>
      </c>
      <c r="L679" s="376">
        <f t="shared" si="311"/>
        <v>0</v>
      </c>
      <c r="M679" s="376">
        <f t="shared" si="311"/>
        <v>0</v>
      </c>
      <c r="N679" s="376">
        <f t="shared" si="311"/>
        <v>0</v>
      </c>
      <c r="O679" s="376">
        <f t="shared" si="311"/>
        <v>0</v>
      </c>
      <c r="P679" s="376">
        <f t="shared" si="311"/>
        <v>0</v>
      </c>
      <c r="Q679" s="376">
        <f t="shared" si="311"/>
        <v>0</v>
      </c>
      <c r="R679" s="376">
        <f>R647+R646+R624+R623</f>
        <v>0</v>
      </c>
      <c r="S679" s="376">
        <f t="shared" si="311"/>
        <v>0</v>
      </c>
      <c r="T679" s="376">
        <f t="shared" si="311"/>
        <v>0</v>
      </c>
      <c r="U679" s="376">
        <f t="shared" si="311"/>
        <v>0</v>
      </c>
      <c r="V679" s="376">
        <f t="shared" si="311"/>
        <v>0</v>
      </c>
      <c r="W679" s="376">
        <f t="shared" si="311"/>
        <v>0</v>
      </c>
      <c r="X679" s="376">
        <f t="shared" si="311"/>
        <v>0</v>
      </c>
      <c r="Y679" s="376">
        <f t="shared" si="311"/>
        <v>0</v>
      </c>
      <c r="Z679" s="376">
        <f t="shared" si="311"/>
        <v>0</v>
      </c>
      <c r="AA679" s="376">
        <f t="shared" si="311"/>
        <v>0</v>
      </c>
      <c r="AB679" s="376">
        <f t="shared" si="311"/>
        <v>0</v>
      </c>
      <c r="AC679" s="376">
        <f t="shared" si="311"/>
        <v>0</v>
      </c>
      <c r="AD679" s="376">
        <f t="shared" si="311"/>
        <v>0</v>
      </c>
      <c r="AE679" s="376">
        <f t="shared" si="311"/>
        <v>0</v>
      </c>
    </row>
    <row r="680" spans="3:31" x14ac:dyDescent="0.2">
      <c r="C680" s="383"/>
      <c r="K680" s="384"/>
    </row>
    <row r="681" spans="3:31" x14ac:dyDescent="0.2">
      <c r="C681" s="383"/>
    </row>
    <row r="682" spans="3:31" x14ac:dyDescent="0.2">
      <c r="C682" s="383"/>
    </row>
    <row r="683" spans="3:31" x14ac:dyDescent="0.2">
      <c r="C683" s="383"/>
    </row>
    <row r="684" spans="3:31" x14ac:dyDescent="0.2">
      <c r="C684" s="383"/>
    </row>
    <row r="685" spans="3:31" x14ac:dyDescent="0.2">
      <c r="C685" s="383"/>
    </row>
    <row r="686" spans="3:31" x14ac:dyDescent="0.2">
      <c r="C686" s="383"/>
    </row>
    <row r="687" spans="3:31" x14ac:dyDescent="0.2">
      <c r="C687" s="383"/>
    </row>
    <row r="688" spans="3:31" x14ac:dyDescent="0.2">
      <c r="C688" s="383"/>
    </row>
    <row r="689" spans="3:3" x14ac:dyDescent="0.2">
      <c r="C689" s="383"/>
    </row>
    <row r="690" spans="3:3" x14ac:dyDescent="0.2">
      <c r="C690" s="383"/>
    </row>
    <row r="691" spans="3:3" x14ac:dyDescent="0.2">
      <c r="C691" s="383"/>
    </row>
    <row r="692" spans="3:3" x14ac:dyDescent="0.2">
      <c r="C692" s="383"/>
    </row>
    <row r="693" spans="3:3" x14ac:dyDescent="0.2">
      <c r="C693" s="383"/>
    </row>
    <row r="694" spans="3:3" x14ac:dyDescent="0.2">
      <c r="C694" s="383"/>
    </row>
    <row r="695" spans="3:3" x14ac:dyDescent="0.2">
      <c r="C695" s="383"/>
    </row>
    <row r="696" spans="3:3" x14ac:dyDescent="0.2">
      <c r="C696" s="383"/>
    </row>
    <row r="697" spans="3:3" x14ac:dyDescent="0.2">
      <c r="C697" s="383"/>
    </row>
    <row r="698" spans="3:3" x14ac:dyDescent="0.2">
      <c r="C698" s="383"/>
    </row>
    <row r="699" spans="3:3" x14ac:dyDescent="0.2">
      <c r="C699" s="383"/>
    </row>
    <row r="700" spans="3:3" x14ac:dyDescent="0.2">
      <c r="C700" s="383"/>
    </row>
    <row r="701" spans="3:3" x14ac:dyDescent="0.2">
      <c r="C701" s="383"/>
    </row>
    <row r="702" spans="3:3" x14ac:dyDescent="0.2">
      <c r="C702" s="383"/>
    </row>
    <row r="703" spans="3:3" x14ac:dyDescent="0.2">
      <c r="C703" s="383"/>
    </row>
    <row r="704" spans="3:3" x14ac:dyDescent="0.2">
      <c r="C704" s="383"/>
    </row>
    <row r="705" spans="3:3" x14ac:dyDescent="0.2">
      <c r="C705" s="383"/>
    </row>
    <row r="706" spans="3:3" x14ac:dyDescent="0.2">
      <c r="C706" s="383"/>
    </row>
    <row r="707" spans="3:3" x14ac:dyDescent="0.2">
      <c r="C707" s="383"/>
    </row>
    <row r="708" spans="3:3" x14ac:dyDescent="0.2">
      <c r="C708" s="383"/>
    </row>
    <row r="709" spans="3:3" x14ac:dyDescent="0.2">
      <c r="C709" s="383"/>
    </row>
    <row r="710" spans="3:3" x14ac:dyDescent="0.2">
      <c r="C710" s="383"/>
    </row>
    <row r="711" spans="3:3" x14ac:dyDescent="0.2">
      <c r="C711" s="383"/>
    </row>
    <row r="712" spans="3:3" x14ac:dyDescent="0.2">
      <c r="C712" s="383"/>
    </row>
    <row r="713" spans="3:3" x14ac:dyDescent="0.2">
      <c r="C713" s="383"/>
    </row>
    <row r="714" spans="3:3" x14ac:dyDescent="0.2">
      <c r="C714" s="383"/>
    </row>
    <row r="715" spans="3:3" x14ac:dyDescent="0.2">
      <c r="C715" s="383"/>
    </row>
    <row r="716" spans="3:3" x14ac:dyDescent="0.2">
      <c r="C716" s="383"/>
    </row>
    <row r="717" spans="3:3" x14ac:dyDescent="0.2">
      <c r="C717" s="383"/>
    </row>
    <row r="718" spans="3:3" x14ac:dyDescent="0.2">
      <c r="C718" s="383"/>
    </row>
    <row r="719" spans="3:3" x14ac:dyDescent="0.2">
      <c r="C719" s="383"/>
    </row>
    <row r="720" spans="3:3" x14ac:dyDescent="0.2">
      <c r="C720" s="383"/>
    </row>
    <row r="721" spans="3:3" x14ac:dyDescent="0.2">
      <c r="C721" s="383"/>
    </row>
    <row r="722" spans="3:3" x14ac:dyDescent="0.2">
      <c r="C722" s="383"/>
    </row>
    <row r="723" spans="3:3" x14ac:dyDescent="0.2">
      <c r="C723" s="383"/>
    </row>
    <row r="724" spans="3:3" x14ac:dyDescent="0.2">
      <c r="C724" s="383"/>
    </row>
    <row r="725" spans="3:3" x14ac:dyDescent="0.2">
      <c r="C725" s="383"/>
    </row>
    <row r="726" spans="3:3" x14ac:dyDescent="0.2">
      <c r="C726" s="383"/>
    </row>
    <row r="727" spans="3:3" x14ac:dyDescent="0.2">
      <c r="C727" s="383"/>
    </row>
    <row r="728" spans="3:3" x14ac:dyDescent="0.2">
      <c r="C728" s="383"/>
    </row>
    <row r="729" spans="3:3" x14ac:dyDescent="0.2">
      <c r="C729" s="383"/>
    </row>
    <row r="730" spans="3:3" x14ac:dyDescent="0.2">
      <c r="C730" s="383"/>
    </row>
    <row r="731" spans="3:3" x14ac:dyDescent="0.2">
      <c r="C731" s="383"/>
    </row>
    <row r="732" spans="3:3" x14ac:dyDescent="0.2">
      <c r="C732" s="383"/>
    </row>
    <row r="733" spans="3:3" x14ac:dyDescent="0.2">
      <c r="C733" s="383"/>
    </row>
    <row r="734" spans="3:3" x14ac:dyDescent="0.2">
      <c r="C734" s="383"/>
    </row>
    <row r="735" spans="3:3" x14ac:dyDescent="0.2">
      <c r="C735" s="383"/>
    </row>
  </sheetData>
  <mergeCells count="5">
    <mergeCell ref="A1:E1"/>
    <mergeCell ref="H1:J1"/>
    <mergeCell ref="A3:J3"/>
    <mergeCell ref="B587:B588"/>
    <mergeCell ref="A657:D657"/>
  </mergeCells>
  <pageMargins left="0.74803149606299213" right="0" top="0.78740157480314965" bottom="0.39370078740157483" header="0.31496062992125984" footer="0.11811023622047245"/>
  <pageSetup paperSize="9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52"/>
  <sheetViews>
    <sheetView topLeftCell="AA22" zoomScaleNormal="100" workbookViewId="0">
      <selection activeCell="C50" sqref="C50"/>
    </sheetView>
  </sheetViews>
  <sheetFormatPr defaultRowHeight="12.75" x14ac:dyDescent="0.2"/>
  <cols>
    <col min="1" max="1" width="4.42578125" style="1" bestFit="1" customWidth="1"/>
    <col min="2" max="2" width="29.5703125" style="1" bestFit="1" customWidth="1"/>
    <col min="3" max="3" width="3" style="1" bestFit="1" customWidth="1"/>
    <col min="4" max="4" width="31.42578125" style="1" hidden="1" customWidth="1"/>
    <col min="5" max="5" width="11" style="1" hidden="1" customWidth="1"/>
    <col min="6" max="6" width="11.42578125" style="1" hidden="1" customWidth="1"/>
    <col min="7" max="7" width="8.85546875" style="1" hidden="1" customWidth="1"/>
    <col min="8" max="8" width="12.42578125" style="1" hidden="1" customWidth="1"/>
    <col min="9" max="9" width="3" style="1" hidden="1" customWidth="1"/>
    <col min="10" max="10" width="31.42578125" style="1" hidden="1" customWidth="1"/>
    <col min="11" max="11" width="8.85546875" style="1" hidden="1" customWidth="1"/>
    <col min="12" max="12" width="11.42578125" style="1" hidden="1" customWidth="1"/>
    <col min="13" max="13" width="12.42578125" style="1" hidden="1" customWidth="1"/>
    <col min="14" max="14" width="12.42578125" style="1" customWidth="1"/>
    <col min="15" max="16" width="11.42578125" style="1" customWidth="1"/>
    <col min="17" max="17" width="13.140625" style="1" customWidth="1"/>
    <col min="18" max="18" width="11.42578125" style="1" customWidth="1"/>
    <col min="19" max="19" width="13.28515625" style="1" customWidth="1"/>
    <col min="20" max="20" width="11.42578125" style="1" customWidth="1"/>
    <col min="21" max="21" width="14.140625" style="1" customWidth="1"/>
    <col min="22" max="22" width="13.7109375" style="1" bestFit="1" customWidth="1"/>
    <col min="23" max="23" width="14.28515625" style="1" customWidth="1"/>
    <col min="24" max="24" width="13.85546875" style="1" bestFit="1" customWidth="1"/>
    <col min="25" max="25" width="13.7109375" style="1" customWidth="1"/>
    <col min="26" max="26" width="11.85546875" style="1" customWidth="1"/>
    <col min="27" max="27" width="13.7109375" style="1" customWidth="1"/>
    <col min="28" max="28" width="11.28515625" style="1" customWidth="1"/>
    <col min="29" max="29" width="11.85546875" style="1" bestFit="1" customWidth="1"/>
    <col min="30" max="30" width="13.7109375" style="1" customWidth="1"/>
    <col min="31" max="31" width="11.42578125" style="1" customWidth="1"/>
    <col min="32" max="32" width="11.5703125" style="1" customWidth="1"/>
    <col min="33" max="33" width="14.5703125" style="1" customWidth="1"/>
    <col min="34" max="35" width="11.7109375" style="1" bestFit="1" customWidth="1"/>
    <col min="36" max="36" width="13.140625" style="1" customWidth="1"/>
    <col min="37" max="37" width="12.85546875" style="1" customWidth="1"/>
    <col min="38" max="38" width="13.28515625" style="1" customWidth="1"/>
    <col min="39" max="39" width="11.7109375" style="1" bestFit="1" customWidth="1"/>
    <col min="40" max="40" width="10.140625" style="1" bestFit="1" customWidth="1"/>
    <col min="41" max="41" width="11.7109375" style="1" bestFit="1" customWidth="1"/>
    <col min="42" max="42" width="10.140625" style="1" bestFit="1" customWidth="1"/>
    <col min="43" max="43" width="11.7109375" style="1" bestFit="1" customWidth="1"/>
    <col min="44" max="44" width="10.140625" style="1" bestFit="1" customWidth="1"/>
    <col min="45" max="45" width="11.7109375" style="1" bestFit="1" customWidth="1"/>
    <col min="46" max="46" width="10.140625" style="1" bestFit="1" customWidth="1"/>
    <col min="47" max="47" width="11.7109375" style="1" bestFit="1" customWidth="1"/>
    <col min="48" max="49" width="10.140625" style="1" bestFit="1" customWidth="1"/>
    <col min="50" max="50" width="10" style="1" bestFit="1" customWidth="1"/>
    <col min="51" max="51" width="14.140625" style="1" customWidth="1"/>
    <col min="52" max="52" width="10.140625" style="1" customWidth="1"/>
    <col min="53" max="53" width="9.42578125" style="1" bestFit="1" customWidth="1"/>
    <col min="54" max="54" width="14.85546875" style="1" customWidth="1"/>
    <col min="55" max="55" width="9.7109375" style="1" customWidth="1"/>
    <col min="56" max="16384" width="9.140625" style="1"/>
  </cols>
  <sheetData>
    <row r="1" spans="1:53" ht="58.5" customHeight="1" thickBot="1" x14ac:dyDescent="0.25">
      <c r="A1" s="385"/>
      <c r="B1" s="386"/>
      <c r="C1" s="986" t="s">
        <v>999</v>
      </c>
      <c r="D1" s="986"/>
      <c r="E1" s="986"/>
      <c r="F1" s="986"/>
      <c r="G1" s="986"/>
      <c r="H1" s="986"/>
      <c r="I1" s="986"/>
      <c r="J1" s="986"/>
      <c r="K1" s="986"/>
      <c r="L1" s="986"/>
      <c r="M1" s="986"/>
      <c r="N1" s="986"/>
      <c r="O1" s="986"/>
      <c r="P1" s="986"/>
      <c r="Q1" s="986"/>
      <c r="R1" s="387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387"/>
      <c r="AD1" s="385"/>
      <c r="AE1" s="385"/>
      <c r="AF1" s="385"/>
      <c r="AG1" s="385"/>
      <c r="AH1" s="385"/>
      <c r="AI1" s="385"/>
      <c r="AJ1" s="385"/>
      <c r="AK1" s="385"/>
      <c r="AL1" s="385"/>
      <c r="AM1" s="385"/>
      <c r="AN1" s="385"/>
      <c r="AO1" s="385"/>
      <c r="AP1" s="385"/>
      <c r="AQ1" s="385"/>
      <c r="AR1" s="385"/>
      <c r="AS1" s="385"/>
      <c r="AT1" s="385"/>
      <c r="AU1" s="385"/>
      <c r="AV1" s="385"/>
      <c r="AW1" s="385"/>
      <c r="AX1" s="385"/>
      <c r="AY1" s="385"/>
    </row>
    <row r="2" spans="1:53" ht="13.5" customHeight="1" thickBot="1" x14ac:dyDescent="0.25">
      <c r="A2" s="987" t="s">
        <v>1000</v>
      </c>
      <c r="B2" s="988" t="s">
        <v>1001</v>
      </c>
      <c r="C2" s="989"/>
      <c r="D2" s="991" t="s">
        <v>1002</v>
      </c>
      <c r="E2" s="992">
        <v>2011</v>
      </c>
      <c r="F2" s="993"/>
      <c r="G2" s="994">
        <v>2015</v>
      </c>
      <c r="H2" s="994"/>
      <c r="I2" s="989"/>
      <c r="J2" s="991" t="s">
        <v>1003</v>
      </c>
      <c r="K2" s="994">
        <v>2017</v>
      </c>
      <c r="L2" s="993"/>
      <c r="M2" s="994"/>
      <c r="N2" s="991" t="s">
        <v>1004</v>
      </c>
      <c r="O2" s="992">
        <v>2019</v>
      </c>
      <c r="P2" s="1001"/>
      <c r="Q2" s="993"/>
      <c r="R2" s="1002">
        <v>2020</v>
      </c>
      <c r="S2" s="1003"/>
      <c r="T2" s="1002">
        <v>2021</v>
      </c>
      <c r="U2" s="1003"/>
      <c r="V2" s="1002">
        <v>2022</v>
      </c>
      <c r="W2" s="1003"/>
      <c r="X2" s="1004">
        <v>2023</v>
      </c>
      <c r="Y2" s="1003"/>
      <c r="Z2" s="995">
        <v>2024</v>
      </c>
      <c r="AA2" s="998"/>
      <c r="AB2" s="1020">
        <v>2025</v>
      </c>
      <c r="AC2" s="998"/>
      <c r="AD2" s="1021">
        <v>2026</v>
      </c>
      <c r="AE2" s="1022"/>
      <c r="AF2" s="995">
        <v>2027</v>
      </c>
      <c r="AG2" s="996"/>
      <c r="AH2" s="997">
        <v>2028</v>
      </c>
      <c r="AI2" s="998"/>
      <c r="AJ2" s="999">
        <v>2029</v>
      </c>
      <c r="AK2" s="1000"/>
      <c r="AL2" s="999">
        <v>2030</v>
      </c>
      <c r="AM2" s="1000"/>
      <c r="AN2" s="1019">
        <v>2031</v>
      </c>
      <c r="AO2" s="1000"/>
      <c r="AP2" s="999">
        <v>2032</v>
      </c>
      <c r="AQ2" s="1000"/>
      <c r="AR2" s="999">
        <v>2033</v>
      </c>
      <c r="AS2" s="1000"/>
      <c r="AT2" s="999">
        <v>2034</v>
      </c>
      <c r="AU2" s="1000"/>
      <c r="AV2" s="1019">
        <v>2035</v>
      </c>
      <c r="AW2" s="1000"/>
      <c r="AX2" s="999">
        <v>2036</v>
      </c>
      <c r="AY2" s="1000"/>
      <c r="AZ2" s="1011">
        <v>2037</v>
      </c>
      <c r="BA2" s="1012"/>
    </row>
    <row r="3" spans="1:53" ht="34.5" thickBot="1" x14ac:dyDescent="0.25">
      <c r="A3" s="987"/>
      <c r="B3" s="988"/>
      <c r="C3" s="990"/>
      <c r="D3" s="991"/>
      <c r="E3" s="388" t="s">
        <v>1005</v>
      </c>
      <c r="F3" s="389" t="s">
        <v>1006</v>
      </c>
      <c r="G3" s="388" t="s">
        <v>1005</v>
      </c>
      <c r="H3" s="389" t="s">
        <v>1006</v>
      </c>
      <c r="I3" s="990"/>
      <c r="J3" s="991"/>
      <c r="K3" s="388" t="s">
        <v>1005</v>
      </c>
      <c r="L3" s="390" t="s">
        <v>1007</v>
      </c>
      <c r="M3" s="391" t="s">
        <v>1006</v>
      </c>
      <c r="N3" s="991"/>
      <c r="O3" s="388" t="s">
        <v>1005</v>
      </c>
      <c r="P3" s="392" t="s">
        <v>1007</v>
      </c>
      <c r="Q3" s="393" t="s">
        <v>1006</v>
      </c>
      <c r="R3" s="394" t="s">
        <v>1005</v>
      </c>
      <c r="S3" s="393" t="s">
        <v>1006</v>
      </c>
      <c r="T3" s="394" t="s">
        <v>1005</v>
      </c>
      <c r="U3" s="393" t="s">
        <v>1006</v>
      </c>
      <c r="V3" s="394" t="s">
        <v>1005</v>
      </c>
      <c r="W3" s="393" t="s">
        <v>1006</v>
      </c>
      <c r="X3" s="388" t="s">
        <v>1005</v>
      </c>
      <c r="Y3" s="393" t="s">
        <v>1006</v>
      </c>
      <c r="Z3" s="395" t="s">
        <v>1005</v>
      </c>
      <c r="AA3" s="396" t="s">
        <v>1006</v>
      </c>
      <c r="AB3" s="397" t="s">
        <v>1005</v>
      </c>
      <c r="AC3" s="398" t="s">
        <v>1006</v>
      </c>
      <c r="AD3" s="397" t="s">
        <v>1005</v>
      </c>
      <c r="AE3" s="396" t="s">
        <v>1006</v>
      </c>
      <c r="AF3" s="395" t="s">
        <v>1005</v>
      </c>
      <c r="AG3" s="396" t="s">
        <v>1006</v>
      </c>
      <c r="AH3" s="397" t="s">
        <v>1005</v>
      </c>
      <c r="AI3" s="398" t="s">
        <v>1006</v>
      </c>
      <c r="AJ3" s="397" t="s">
        <v>1005</v>
      </c>
      <c r="AK3" s="398" t="s">
        <v>1006</v>
      </c>
      <c r="AL3" s="397" t="s">
        <v>1005</v>
      </c>
      <c r="AM3" s="398" t="s">
        <v>1006</v>
      </c>
      <c r="AN3" s="399" t="s">
        <v>1005</v>
      </c>
      <c r="AO3" s="398" t="s">
        <v>1006</v>
      </c>
      <c r="AP3" s="397" t="s">
        <v>1005</v>
      </c>
      <c r="AQ3" s="398" t="s">
        <v>1006</v>
      </c>
      <c r="AR3" s="397" t="s">
        <v>1005</v>
      </c>
      <c r="AS3" s="398" t="s">
        <v>1006</v>
      </c>
      <c r="AT3" s="397" t="s">
        <v>1005</v>
      </c>
      <c r="AU3" s="398" t="s">
        <v>1006</v>
      </c>
      <c r="AV3" s="399" t="s">
        <v>1005</v>
      </c>
      <c r="AW3" s="398" t="s">
        <v>1006</v>
      </c>
      <c r="AX3" s="397" t="s">
        <v>1005</v>
      </c>
      <c r="AY3" s="398" t="s">
        <v>1006</v>
      </c>
      <c r="AZ3" s="399" t="s">
        <v>1005</v>
      </c>
      <c r="BA3" s="389" t="s">
        <v>1006</v>
      </c>
    </row>
    <row r="4" spans="1:53" x14ac:dyDescent="0.2">
      <c r="A4" s="400">
        <v>1</v>
      </c>
      <c r="B4" s="1013" t="s">
        <v>1008</v>
      </c>
      <c r="C4" s="401" t="s">
        <v>1009</v>
      </c>
      <c r="D4" s="402">
        <v>3778400</v>
      </c>
      <c r="E4" s="403">
        <v>103400</v>
      </c>
      <c r="F4" s="404">
        <f>D4-E4</f>
        <v>3675000</v>
      </c>
      <c r="G4" s="405">
        <v>419800</v>
      </c>
      <c r="H4" s="406">
        <f>D4-G4</f>
        <v>3358600</v>
      </c>
      <c r="I4" s="401" t="s">
        <v>1009</v>
      </c>
      <c r="J4" s="407">
        <v>2938800</v>
      </c>
      <c r="K4" s="405">
        <v>419800</v>
      </c>
      <c r="L4" s="408"/>
      <c r="M4" s="406">
        <f>J4-K4</f>
        <v>2519000</v>
      </c>
      <c r="N4" s="407">
        <v>2099200</v>
      </c>
      <c r="O4" s="405">
        <v>419800</v>
      </c>
      <c r="P4" s="409"/>
      <c r="Q4" s="410">
        <f>N4-O4</f>
        <v>1679400</v>
      </c>
      <c r="R4" s="411">
        <v>419800</v>
      </c>
      <c r="S4" s="412">
        <f>Q4-R4</f>
        <v>1259600</v>
      </c>
      <c r="T4" s="411">
        <v>419800</v>
      </c>
      <c r="U4" s="412">
        <f>S4-T4</f>
        <v>839800</v>
      </c>
      <c r="V4" s="411">
        <v>419800</v>
      </c>
      <c r="W4" s="412">
        <f>U4-V4</f>
        <v>420000</v>
      </c>
      <c r="X4" s="413">
        <v>420000</v>
      </c>
      <c r="Y4" s="412">
        <f>W4-X4</f>
        <v>0</v>
      </c>
      <c r="Z4" s="414"/>
      <c r="AA4" s="415">
        <v>0</v>
      </c>
      <c r="AB4" s="416"/>
      <c r="AC4" s="417">
        <v>0</v>
      </c>
      <c r="AD4" s="418">
        <v>0</v>
      </c>
      <c r="AE4" s="419">
        <v>0</v>
      </c>
      <c r="AF4" s="420"/>
      <c r="AG4" s="421"/>
      <c r="AH4" s="422"/>
      <c r="AI4" s="423"/>
      <c r="AJ4" s="424"/>
      <c r="AK4" s="425"/>
      <c r="AL4" s="424"/>
      <c r="AM4" s="425"/>
      <c r="AN4" s="426"/>
      <c r="AO4" s="425"/>
      <c r="AP4" s="424"/>
      <c r="AQ4" s="425"/>
      <c r="AR4" s="424"/>
      <c r="AS4" s="425"/>
      <c r="AT4" s="424"/>
      <c r="AU4" s="425"/>
      <c r="AV4" s="426"/>
      <c r="AW4" s="425"/>
      <c r="AX4" s="424"/>
      <c r="AY4" s="425"/>
      <c r="AZ4" s="427"/>
      <c r="BA4" s="428"/>
    </row>
    <row r="5" spans="1:53" x14ac:dyDescent="0.2">
      <c r="A5" s="429"/>
      <c r="B5" s="1014"/>
      <c r="C5" s="430" t="s">
        <v>1010</v>
      </c>
      <c r="D5" s="431">
        <f>(1.66+0.24+0.72)%</f>
        <v>2.6200000000000001E-2</v>
      </c>
      <c r="E5" s="432">
        <v>31000</v>
      </c>
      <c r="F5" s="433"/>
      <c r="G5" s="432">
        <v>99000</v>
      </c>
      <c r="H5" s="434"/>
      <c r="I5" s="430" t="s">
        <v>1010</v>
      </c>
      <c r="J5" s="435">
        <f>0.72%+1.9%</f>
        <v>2.6200000000000001E-2</v>
      </c>
      <c r="K5" s="432">
        <v>77000</v>
      </c>
      <c r="L5" s="436"/>
      <c r="M5" s="437"/>
      <c r="N5" s="435">
        <f>0.72%+1.64%</f>
        <v>2.3599999999999996E-2</v>
      </c>
      <c r="O5" s="432">
        <f>49600-2400</f>
        <v>47200</v>
      </c>
      <c r="P5" s="438"/>
      <c r="Q5" s="433"/>
      <c r="R5" s="439">
        <v>39600</v>
      </c>
      <c r="S5" s="440"/>
      <c r="T5" s="439">
        <v>29700</v>
      </c>
      <c r="U5" s="440"/>
      <c r="V5" s="439">
        <v>19800</v>
      </c>
      <c r="W5" s="440"/>
      <c r="X5" s="432">
        <v>9900</v>
      </c>
      <c r="Y5" s="440"/>
      <c r="Z5" s="441"/>
      <c r="AA5" s="442"/>
      <c r="AB5" s="443"/>
      <c r="AC5" s="444"/>
      <c r="AD5" s="445"/>
      <c r="AE5" s="446"/>
      <c r="AF5" s="447"/>
      <c r="AG5" s="448"/>
      <c r="AH5" s="424"/>
      <c r="AI5" s="425"/>
      <c r="AJ5" s="424"/>
      <c r="AK5" s="425"/>
      <c r="AL5" s="424"/>
      <c r="AM5" s="425"/>
      <c r="AN5" s="426"/>
      <c r="AO5" s="425"/>
      <c r="AP5" s="424"/>
      <c r="AQ5" s="425"/>
      <c r="AR5" s="424"/>
      <c r="AS5" s="425"/>
      <c r="AT5" s="424"/>
      <c r="AU5" s="425"/>
      <c r="AV5" s="426"/>
      <c r="AW5" s="425"/>
      <c r="AX5" s="424"/>
      <c r="AY5" s="425"/>
      <c r="AZ5" s="427"/>
      <c r="BA5" s="428"/>
    </row>
    <row r="6" spans="1:53" x14ac:dyDescent="0.2">
      <c r="A6" s="429"/>
      <c r="B6" s="1015"/>
      <c r="C6" s="430" t="s">
        <v>1011</v>
      </c>
      <c r="D6" s="434"/>
      <c r="E6" s="432">
        <f>SUM(E4:E5)</f>
        <v>134400</v>
      </c>
      <c r="F6" s="433">
        <f>F4</f>
        <v>3675000</v>
      </c>
      <c r="G6" s="432">
        <f>G4+G5</f>
        <v>518800</v>
      </c>
      <c r="H6" s="434">
        <f>H4</f>
        <v>3358600</v>
      </c>
      <c r="I6" s="430" t="s">
        <v>1011</v>
      </c>
      <c r="J6" s="449"/>
      <c r="K6" s="432">
        <f>SUM(K4:K5)</f>
        <v>496800</v>
      </c>
      <c r="L6" s="436"/>
      <c r="M6" s="434">
        <f>SUM(M4:M5)</f>
        <v>2519000</v>
      </c>
      <c r="N6" s="449"/>
      <c r="O6" s="432">
        <f>SUM(O4:O5)</f>
        <v>467000</v>
      </c>
      <c r="P6" s="438"/>
      <c r="Q6" s="433">
        <f>SUM(Q4:Q5)</f>
        <v>1679400</v>
      </c>
      <c r="R6" s="450">
        <f>SUM(R4:R5)</f>
        <v>459400</v>
      </c>
      <c r="S6" s="451">
        <f>SUM(S4)</f>
        <v>1259600</v>
      </c>
      <c r="T6" s="450">
        <f>SUM(T4:T5)</f>
        <v>449500</v>
      </c>
      <c r="U6" s="451">
        <f>U4</f>
        <v>839800</v>
      </c>
      <c r="V6" s="450">
        <f>SUM(V4:V5)</f>
        <v>439600</v>
      </c>
      <c r="W6" s="451">
        <f>W4</f>
        <v>420000</v>
      </c>
      <c r="X6" s="452">
        <f>SUM(X4:X5)</f>
        <v>429900</v>
      </c>
      <c r="Y6" s="451">
        <f>Y4</f>
        <v>0</v>
      </c>
      <c r="Z6" s="453"/>
      <c r="AA6" s="454">
        <v>0</v>
      </c>
      <c r="AB6" s="455"/>
      <c r="AC6" s="456">
        <v>0</v>
      </c>
      <c r="AD6" s="457">
        <f>AD4+AD5</f>
        <v>0</v>
      </c>
      <c r="AE6" s="458">
        <v>0</v>
      </c>
      <c r="AF6" s="459"/>
      <c r="AG6" s="460"/>
      <c r="AH6" s="461"/>
      <c r="AI6" s="462"/>
      <c r="AJ6" s="461"/>
      <c r="AK6" s="462"/>
      <c r="AL6" s="461"/>
      <c r="AM6" s="462"/>
      <c r="AN6" s="463"/>
      <c r="AO6" s="462"/>
      <c r="AP6" s="461"/>
      <c r="AQ6" s="462"/>
      <c r="AR6" s="461"/>
      <c r="AS6" s="462"/>
      <c r="AT6" s="461"/>
      <c r="AU6" s="462"/>
      <c r="AV6" s="463"/>
      <c r="AW6" s="462"/>
      <c r="AX6" s="461"/>
      <c r="AY6" s="462"/>
      <c r="AZ6" s="464"/>
      <c r="BA6" s="465"/>
    </row>
    <row r="7" spans="1:53" x14ac:dyDescent="0.2">
      <c r="A7" s="400">
        <v>2</v>
      </c>
      <c r="B7" s="1016" t="s">
        <v>1012</v>
      </c>
      <c r="C7" s="401" t="s">
        <v>1009</v>
      </c>
      <c r="D7" s="402">
        <v>1250000</v>
      </c>
      <c r="E7" s="403">
        <v>103400</v>
      </c>
      <c r="F7" s="404">
        <f>D7-E7</f>
        <v>1146600</v>
      </c>
      <c r="G7" s="403">
        <v>125000</v>
      </c>
      <c r="H7" s="402">
        <f>D7-G7</f>
        <v>1125000</v>
      </c>
      <c r="I7" s="401" t="s">
        <v>1009</v>
      </c>
      <c r="J7" s="466">
        <v>1000000</v>
      </c>
      <c r="K7" s="403">
        <v>125000</v>
      </c>
      <c r="L7" s="467"/>
      <c r="M7" s="402">
        <f>J7-K7</f>
        <v>875000</v>
      </c>
      <c r="N7" s="466">
        <v>750000</v>
      </c>
      <c r="O7" s="403">
        <v>125000</v>
      </c>
      <c r="P7" s="468"/>
      <c r="Q7" s="404">
        <f>N7-O7</f>
        <v>625000</v>
      </c>
      <c r="R7" s="469">
        <v>125000</v>
      </c>
      <c r="S7" s="470">
        <f>Q7-R7</f>
        <v>500000</v>
      </c>
      <c r="T7" s="469">
        <v>125000</v>
      </c>
      <c r="U7" s="470">
        <f>S7-T7</f>
        <v>375000</v>
      </c>
      <c r="V7" s="469">
        <v>125000</v>
      </c>
      <c r="W7" s="470">
        <f>U7-V7</f>
        <v>250000</v>
      </c>
      <c r="X7" s="471">
        <v>125000</v>
      </c>
      <c r="Y7" s="470">
        <f>W7-X7</f>
        <v>125000</v>
      </c>
      <c r="Z7" s="472">
        <v>125000</v>
      </c>
      <c r="AA7" s="473">
        <f>Y7-Z7</f>
        <v>0</v>
      </c>
      <c r="AB7" s="474"/>
      <c r="AC7" s="475">
        <v>0</v>
      </c>
      <c r="AD7" s="418">
        <v>0</v>
      </c>
      <c r="AE7" s="419">
        <v>0</v>
      </c>
      <c r="AF7" s="420"/>
      <c r="AG7" s="421"/>
      <c r="AH7" s="422"/>
      <c r="AI7" s="423"/>
      <c r="AJ7" s="422"/>
      <c r="AK7" s="423"/>
      <c r="AL7" s="422"/>
      <c r="AM7" s="423"/>
      <c r="AN7" s="476"/>
      <c r="AO7" s="423"/>
      <c r="AP7" s="422"/>
      <c r="AQ7" s="423"/>
      <c r="AR7" s="422"/>
      <c r="AS7" s="423"/>
      <c r="AT7" s="422"/>
      <c r="AU7" s="423"/>
      <c r="AV7" s="476"/>
      <c r="AW7" s="423"/>
      <c r="AX7" s="422"/>
      <c r="AY7" s="423"/>
      <c r="AZ7" s="427"/>
      <c r="BA7" s="428"/>
    </row>
    <row r="8" spans="1:53" x14ac:dyDescent="0.2">
      <c r="A8" s="429"/>
      <c r="B8" s="1014"/>
      <c r="C8" s="430" t="s">
        <v>1010</v>
      </c>
      <c r="D8" s="431">
        <f>(1.66+0.24+0.6)%</f>
        <v>2.5000000000000001E-2</v>
      </c>
      <c r="E8" s="432">
        <v>31000</v>
      </c>
      <c r="F8" s="433"/>
      <c r="G8" s="432">
        <v>31250</v>
      </c>
      <c r="H8" s="434"/>
      <c r="I8" s="430" t="s">
        <v>1010</v>
      </c>
      <c r="J8" s="435">
        <f>0.6%+1.9%</f>
        <v>2.5000000000000001E-2</v>
      </c>
      <c r="K8" s="432">
        <v>25000</v>
      </c>
      <c r="L8" s="436"/>
      <c r="M8" s="434"/>
      <c r="N8" s="435">
        <f>0.6%+1.64%</f>
        <v>2.2399999999999996E-2</v>
      </c>
      <c r="O8" s="432">
        <f>16800-690</f>
        <v>16110</v>
      </c>
      <c r="P8" s="438"/>
      <c r="Q8" s="433"/>
      <c r="R8" s="439">
        <v>14000</v>
      </c>
      <c r="S8" s="433"/>
      <c r="T8" s="439">
        <v>11200</v>
      </c>
      <c r="U8" s="433"/>
      <c r="V8" s="439">
        <v>8400</v>
      </c>
      <c r="W8" s="433"/>
      <c r="X8" s="432">
        <v>5600</v>
      </c>
      <c r="Y8" s="433"/>
      <c r="Z8" s="441">
        <v>2800</v>
      </c>
      <c r="AA8" s="442"/>
      <c r="AB8" s="443"/>
      <c r="AC8" s="444"/>
      <c r="AD8" s="445"/>
      <c r="AE8" s="446"/>
      <c r="AF8" s="447"/>
      <c r="AG8" s="448"/>
      <c r="AH8" s="424"/>
      <c r="AI8" s="425"/>
      <c r="AJ8" s="387"/>
      <c r="AK8" s="425"/>
      <c r="AL8" s="424"/>
      <c r="AM8" s="425"/>
      <c r="AN8" s="426"/>
      <c r="AO8" s="425"/>
      <c r="AP8" s="424"/>
      <c r="AQ8" s="425"/>
      <c r="AR8" s="424"/>
      <c r="AS8" s="425"/>
      <c r="AT8" s="424"/>
      <c r="AU8" s="425"/>
      <c r="AV8" s="426"/>
      <c r="AW8" s="425"/>
      <c r="AX8" s="424"/>
      <c r="AY8" s="425"/>
      <c r="AZ8" s="427"/>
      <c r="BA8" s="428"/>
    </row>
    <row r="9" spans="1:53" x14ac:dyDescent="0.2">
      <c r="A9" s="429"/>
      <c r="B9" s="1015"/>
      <c r="C9" s="430" t="s">
        <v>1011</v>
      </c>
      <c r="D9" s="434"/>
      <c r="E9" s="432">
        <f>SUM(E7:E8)</f>
        <v>134400</v>
      </c>
      <c r="F9" s="433">
        <f>F7</f>
        <v>1146600</v>
      </c>
      <c r="G9" s="432">
        <f>SUM(G7:G8)</f>
        <v>156250</v>
      </c>
      <c r="H9" s="434">
        <v>0</v>
      </c>
      <c r="I9" s="430" t="s">
        <v>1011</v>
      </c>
      <c r="J9" s="449"/>
      <c r="K9" s="432">
        <f>SUM(K7:K8)</f>
        <v>150000</v>
      </c>
      <c r="L9" s="436"/>
      <c r="M9" s="434">
        <f>M7</f>
        <v>875000</v>
      </c>
      <c r="N9" s="449"/>
      <c r="O9" s="432">
        <f>SUM(O7:O8)</f>
        <v>141110</v>
      </c>
      <c r="P9" s="438"/>
      <c r="Q9" s="433">
        <f>Q7</f>
        <v>625000</v>
      </c>
      <c r="R9" s="450">
        <f>SUM(R7:R8)</f>
        <v>139000</v>
      </c>
      <c r="S9" s="433">
        <f>S7</f>
        <v>500000</v>
      </c>
      <c r="T9" s="450">
        <f>SUM(T7:T8)</f>
        <v>136200</v>
      </c>
      <c r="U9" s="433">
        <f>U7</f>
        <v>375000</v>
      </c>
      <c r="V9" s="450">
        <f>SUM(V7:V8)</f>
        <v>133400</v>
      </c>
      <c r="W9" s="433">
        <f>W7</f>
        <v>250000</v>
      </c>
      <c r="X9" s="452">
        <f>SUM(X7:X8)</f>
        <v>130600</v>
      </c>
      <c r="Y9" s="433">
        <f>Y7</f>
        <v>125000</v>
      </c>
      <c r="Z9" s="453">
        <f>SUM(Z7:Z8)</f>
        <v>127800</v>
      </c>
      <c r="AA9" s="454">
        <v>0</v>
      </c>
      <c r="AB9" s="455"/>
      <c r="AC9" s="456">
        <v>0</v>
      </c>
      <c r="AD9" s="457">
        <f>AD7+AD8</f>
        <v>0</v>
      </c>
      <c r="AE9" s="458">
        <v>0</v>
      </c>
      <c r="AF9" s="459"/>
      <c r="AG9" s="460"/>
      <c r="AH9" s="461"/>
      <c r="AI9" s="477"/>
      <c r="AJ9" s="478"/>
      <c r="AK9" s="477"/>
      <c r="AL9" s="478"/>
      <c r="AM9" s="477"/>
      <c r="AN9" s="463"/>
      <c r="AO9" s="462"/>
      <c r="AP9" s="461"/>
      <c r="AQ9" s="462"/>
      <c r="AR9" s="461"/>
      <c r="AS9" s="462"/>
      <c r="AT9" s="461"/>
      <c r="AU9" s="462"/>
      <c r="AV9" s="463"/>
      <c r="AW9" s="462"/>
      <c r="AX9" s="461"/>
      <c r="AY9" s="462"/>
      <c r="AZ9" s="464"/>
      <c r="BA9" s="465"/>
    </row>
    <row r="10" spans="1:53" x14ac:dyDescent="0.2">
      <c r="A10" s="400">
        <v>3</v>
      </c>
      <c r="B10" s="1017" t="s">
        <v>1013</v>
      </c>
      <c r="C10" s="401" t="s">
        <v>1009</v>
      </c>
      <c r="D10" s="402">
        <v>3660000</v>
      </c>
      <c r="E10" s="403">
        <v>732000</v>
      </c>
      <c r="F10" s="404">
        <f>D10-E10</f>
        <v>2928000</v>
      </c>
      <c r="G10" s="403">
        <v>732000</v>
      </c>
      <c r="H10" s="402">
        <f>D10-G10</f>
        <v>2928000</v>
      </c>
      <c r="I10" s="401" t="s">
        <v>1009</v>
      </c>
      <c r="J10" s="466">
        <v>2196000</v>
      </c>
      <c r="K10" s="403">
        <v>732000</v>
      </c>
      <c r="L10" s="467"/>
      <c r="M10" s="402">
        <f>J10-K10</f>
        <v>1464000</v>
      </c>
      <c r="N10" s="466">
        <v>732000</v>
      </c>
      <c r="O10" s="403">
        <v>732000</v>
      </c>
      <c r="P10" s="468"/>
      <c r="Q10" s="404">
        <f>N10-O10</f>
        <v>0</v>
      </c>
      <c r="R10" s="469"/>
      <c r="S10" s="479">
        <v>0</v>
      </c>
      <c r="T10" s="469"/>
      <c r="U10" s="479">
        <v>0</v>
      </c>
      <c r="V10" s="469"/>
      <c r="W10" s="479">
        <v>0</v>
      </c>
      <c r="X10" s="471"/>
      <c r="Y10" s="479">
        <v>0</v>
      </c>
      <c r="Z10" s="472"/>
      <c r="AA10" s="473">
        <v>0</v>
      </c>
      <c r="AB10" s="474"/>
      <c r="AC10" s="475">
        <v>0</v>
      </c>
      <c r="AD10" s="418">
        <v>0</v>
      </c>
      <c r="AE10" s="419">
        <v>0</v>
      </c>
      <c r="AF10" s="420"/>
      <c r="AG10" s="421"/>
      <c r="AH10" s="480"/>
      <c r="AI10" s="423"/>
      <c r="AJ10" s="480"/>
      <c r="AK10" s="423"/>
      <c r="AL10" s="480"/>
      <c r="AM10" s="423"/>
      <c r="AN10" s="476"/>
      <c r="AO10" s="423"/>
      <c r="AP10" s="422"/>
      <c r="AQ10" s="423"/>
      <c r="AR10" s="422"/>
      <c r="AS10" s="423"/>
      <c r="AT10" s="422"/>
      <c r="AU10" s="423"/>
      <c r="AV10" s="476"/>
      <c r="AW10" s="423"/>
      <c r="AX10" s="422"/>
      <c r="AY10" s="423"/>
      <c r="AZ10" s="427"/>
      <c r="BA10" s="428"/>
    </row>
    <row r="11" spans="1:53" x14ac:dyDescent="0.2">
      <c r="A11" s="429"/>
      <c r="B11" s="1016"/>
      <c r="C11" s="430" t="s">
        <v>1010</v>
      </c>
      <c r="D11" s="431">
        <f>(1.66+0.24+1.6)%</f>
        <v>3.5000000000000003E-2</v>
      </c>
      <c r="E11" s="432">
        <v>380000</v>
      </c>
      <c r="F11" s="433"/>
      <c r="G11" s="432">
        <v>128100</v>
      </c>
      <c r="H11" s="434"/>
      <c r="I11" s="430" t="s">
        <v>1010</v>
      </c>
      <c r="J11" s="435">
        <f>1.6%+1.9%</f>
        <v>3.5000000000000003E-2</v>
      </c>
      <c r="K11" s="432">
        <v>77000</v>
      </c>
      <c r="L11" s="436"/>
      <c r="M11" s="437"/>
      <c r="N11" s="435">
        <f>1.6%+1.64%</f>
        <v>3.2399999999999998E-2</v>
      </c>
      <c r="O11" s="432">
        <v>17610</v>
      </c>
      <c r="P11" s="438"/>
      <c r="Q11" s="433"/>
      <c r="R11" s="439"/>
      <c r="S11" s="481"/>
      <c r="T11" s="439"/>
      <c r="U11" s="481"/>
      <c r="V11" s="439"/>
      <c r="W11" s="481"/>
      <c r="X11" s="482"/>
      <c r="Y11" s="483"/>
      <c r="Z11" s="441"/>
      <c r="AA11" s="483"/>
      <c r="AB11" s="484"/>
      <c r="AC11" s="485"/>
      <c r="AD11" s="445"/>
      <c r="AE11" s="446"/>
      <c r="AF11" s="486"/>
      <c r="AG11" s="448"/>
      <c r="AH11" s="387"/>
      <c r="AI11" s="425"/>
      <c r="AJ11" s="387"/>
      <c r="AK11" s="425"/>
      <c r="AL11" s="387"/>
      <c r="AM11" s="425"/>
      <c r="AN11" s="487"/>
      <c r="AO11" s="425"/>
      <c r="AP11" s="387"/>
      <c r="AQ11" s="425"/>
      <c r="AR11" s="424"/>
      <c r="AS11" s="425"/>
      <c r="AT11" s="387"/>
      <c r="AU11" s="425"/>
      <c r="AV11" s="426"/>
      <c r="AW11" s="425"/>
      <c r="AX11" s="387"/>
      <c r="AY11" s="425"/>
      <c r="AZ11" s="427"/>
      <c r="BA11" s="428"/>
    </row>
    <row r="12" spans="1:53" x14ac:dyDescent="0.2">
      <c r="A12" s="429"/>
      <c r="B12" s="1016"/>
      <c r="C12" s="430" t="s">
        <v>1011</v>
      </c>
      <c r="D12" s="434"/>
      <c r="E12" s="432">
        <f>SUM(E10:E11)</f>
        <v>1112000</v>
      </c>
      <c r="F12" s="433">
        <f>F10</f>
        <v>2928000</v>
      </c>
      <c r="G12" s="432">
        <f>G10+G11</f>
        <v>860100</v>
      </c>
      <c r="H12" s="434"/>
      <c r="I12" s="430" t="s">
        <v>1011</v>
      </c>
      <c r="J12" s="449"/>
      <c r="K12" s="432">
        <f>K10+K11</f>
        <v>809000</v>
      </c>
      <c r="L12" s="436"/>
      <c r="M12" s="434">
        <f>M10</f>
        <v>1464000</v>
      </c>
      <c r="N12" s="449"/>
      <c r="O12" s="432">
        <f>O10+O11</f>
        <v>749610</v>
      </c>
      <c r="P12" s="438"/>
      <c r="Q12" s="433">
        <f>Q10</f>
        <v>0</v>
      </c>
      <c r="R12" s="450"/>
      <c r="S12" s="488">
        <v>0</v>
      </c>
      <c r="T12" s="450"/>
      <c r="U12" s="488">
        <v>0</v>
      </c>
      <c r="V12" s="450"/>
      <c r="W12" s="488">
        <v>0</v>
      </c>
      <c r="X12" s="489"/>
      <c r="Y12" s="490">
        <v>0</v>
      </c>
      <c r="Z12" s="489"/>
      <c r="AA12" s="490">
        <v>0</v>
      </c>
      <c r="AB12" s="491"/>
      <c r="AC12" s="492">
        <v>0</v>
      </c>
      <c r="AD12" s="493">
        <v>0</v>
      </c>
      <c r="AE12" s="458">
        <v>0</v>
      </c>
      <c r="AF12" s="494"/>
      <c r="AG12" s="460"/>
      <c r="AH12" s="478"/>
      <c r="AI12" s="477"/>
      <c r="AJ12" s="478"/>
      <c r="AK12" s="477"/>
      <c r="AL12" s="478"/>
      <c r="AM12" s="477"/>
      <c r="AN12" s="495"/>
      <c r="AO12" s="462"/>
      <c r="AP12" s="478"/>
      <c r="AQ12" s="462"/>
      <c r="AR12" s="461"/>
      <c r="AS12" s="462"/>
      <c r="AT12" s="478"/>
      <c r="AU12" s="462"/>
      <c r="AV12" s="495"/>
      <c r="AW12" s="462"/>
      <c r="AX12" s="478"/>
      <c r="AY12" s="462"/>
      <c r="AZ12" s="464"/>
      <c r="BA12" s="465"/>
    </row>
    <row r="13" spans="1:53" x14ac:dyDescent="0.2">
      <c r="A13" s="400">
        <v>4</v>
      </c>
      <c r="B13" s="1017" t="s">
        <v>1014</v>
      </c>
      <c r="C13" s="401" t="s">
        <v>1009</v>
      </c>
      <c r="D13" s="402">
        <v>4411601.24</v>
      </c>
      <c r="E13" s="403">
        <v>732000</v>
      </c>
      <c r="F13" s="404">
        <f>D13-E13</f>
        <v>3679601.24</v>
      </c>
      <c r="G13" s="403">
        <v>400000</v>
      </c>
      <c r="H13" s="402">
        <f>D13-G13</f>
        <v>4011601.24</v>
      </c>
      <c r="I13" s="401" t="s">
        <v>1009</v>
      </c>
      <c r="J13" s="466">
        <v>3611601.24</v>
      </c>
      <c r="K13" s="496">
        <v>400000</v>
      </c>
      <c r="L13" s="497"/>
      <c r="M13" s="402">
        <f>J13-K13</f>
        <v>3211601.24</v>
      </c>
      <c r="N13" s="466">
        <v>2811601.24</v>
      </c>
      <c r="O13" s="403">
        <v>400000</v>
      </c>
      <c r="P13" s="468"/>
      <c r="Q13" s="404">
        <f>N13-O13</f>
        <v>2411601.2400000002</v>
      </c>
      <c r="R13" s="469">
        <v>400000</v>
      </c>
      <c r="S13" s="470">
        <f>Q13-R13</f>
        <v>2011601.2400000002</v>
      </c>
      <c r="T13" s="469">
        <v>400000</v>
      </c>
      <c r="U13" s="470">
        <f>S13-T13</f>
        <v>1611601.2400000002</v>
      </c>
      <c r="V13" s="498">
        <v>400000</v>
      </c>
      <c r="W13" s="499">
        <f>U13-V13</f>
        <v>1211601.2400000002</v>
      </c>
      <c r="X13" s="500">
        <v>400000</v>
      </c>
      <c r="Y13" s="499">
        <f>W13-X13</f>
        <v>811601.24000000022</v>
      </c>
      <c r="Z13" s="500">
        <v>400000</v>
      </c>
      <c r="AA13" s="499">
        <f>Y13-Z13</f>
        <v>411601.24000000022</v>
      </c>
      <c r="AB13" s="501">
        <v>411601.24</v>
      </c>
      <c r="AC13" s="502">
        <f>AA13-AB13</f>
        <v>0</v>
      </c>
      <c r="AD13" s="503">
        <v>0</v>
      </c>
      <c r="AE13" s="419">
        <v>0</v>
      </c>
      <c r="AF13" s="504"/>
      <c r="AG13" s="421"/>
      <c r="AH13" s="480"/>
      <c r="AI13" s="423"/>
      <c r="AJ13" s="480"/>
      <c r="AK13" s="423"/>
      <c r="AL13" s="480"/>
      <c r="AM13" s="423"/>
      <c r="AN13" s="505"/>
      <c r="AO13" s="423"/>
      <c r="AP13" s="480"/>
      <c r="AQ13" s="423"/>
      <c r="AR13" s="480"/>
      <c r="AS13" s="423"/>
      <c r="AT13" s="480"/>
      <c r="AU13" s="423"/>
      <c r="AV13" s="505"/>
      <c r="AW13" s="423"/>
      <c r="AX13" s="480"/>
      <c r="AY13" s="423"/>
      <c r="AZ13" s="427"/>
      <c r="BA13" s="428"/>
    </row>
    <row r="14" spans="1:53" x14ac:dyDescent="0.2">
      <c r="A14" s="429"/>
      <c r="B14" s="1016"/>
      <c r="C14" s="430" t="s">
        <v>1010</v>
      </c>
      <c r="D14" s="431">
        <v>0.03</v>
      </c>
      <c r="E14" s="432">
        <v>380000</v>
      </c>
      <c r="F14" s="433"/>
      <c r="G14" s="432">
        <v>132000</v>
      </c>
      <c r="H14" s="434"/>
      <c r="I14" s="430" t="s">
        <v>1010</v>
      </c>
      <c r="J14" s="435">
        <v>0.03</v>
      </c>
      <c r="K14" s="482">
        <f>108000+12000</f>
        <v>120000</v>
      </c>
      <c r="L14" s="506"/>
      <c r="M14" s="437"/>
      <c r="N14" s="435">
        <v>0.03</v>
      </c>
      <c r="O14" s="482">
        <f>84000-11832</f>
        <v>72168</v>
      </c>
      <c r="P14" s="507"/>
      <c r="Q14" s="434"/>
      <c r="R14" s="439">
        <v>71340</v>
      </c>
      <c r="S14" s="440"/>
      <c r="T14" s="438">
        <v>59400</v>
      </c>
      <c r="U14" s="442"/>
      <c r="V14" s="438">
        <v>47400</v>
      </c>
      <c r="W14" s="442"/>
      <c r="X14" s="482">
        <v>35400</v>
      </c>
      <c r="Y14" s="442"/>
      <c r="Z14" s="482">
        <v>23400</v>
      </c>
      <c r="AA14" s="442"/>
      <c r="AB14" s="438">
        <v>11400</v>
      </c>
      <c r="AC14" s="444"/>
      <c r="AD14" s="508"/>
      <c r="AE14" s="446"/>
      <c r="AF14" s="486"/>
      <c r="AG14" s="448"/>
      <c r="AH14" s="387"/>
      <c r="AI14" s="425"/>
      <c r="AJ14" s="387"/>
      <c r="AK14" s="425"/>
      <c r="AL14" s="387"/>
      <c r="AM14" s="425"/>
      <c r="AN14" s="487"/>
      <c r="AO14" s="425"/>
      <c r="AP14" s="387"/>
      <c r="AQ14" s="425"/>
      <c r="AR14" s="387"/>
      <c r="AS14" s="425"/>
      <c r="AT14" s="387"/>
      <c r="AU14" s="425"/>
      <c r="AV14" s="487"/>
      <c r="AW14" s="425"/>
      <c r="AX14" s="387"/>
      <c r="AY14" s="425"/>
      <c r="AZ14" s="427"/>
      <c r="BA14" s="428"/>
    </row>
    <row r="15" spans="1:53" x14ac:dyDescent="0.2">
      <c r="A15" s="509"/>
      <c r="B15" s="1018"/>
      <c r="C15" s="510" t="s">
        <v>1011</v>
      </c>
      <c r="D15" s="511"/>
      <c r="E15" s="452">
        <f>SUM(E13:E14)</f>
        <v>1112000</v>
      </c>
      <c r="F15" s="451">
        <f>F13</f>
        <v>3679601.24</v>
      </c>
      <c r="G15" s="452">
        <f>G13+G14</f>
        <v>532000</v>
      </c>
      <c r="H15" s="511"/>
      <c r="I15" s="510" t="s">
        <v>1011</v>
      </c>
      <c r="J15" s="512"/>
      <c r="K15" s="489">
        <f>K13+K14</f>
        <v>520000</v>
      </c>
      <c r="L15" s="513"/>
      <c r="M15" s="511">
        <f>M13</f>
        <v>3211601.24</v>
      </c>
      <c r="N15" s="511"/>
      <c r="O15" s="514">
        <f>O13+O14</f>
        <v>472168</v>
      </c>
      <c r="P15" s="515"/>
      <c r="Q15" s="511">
        <f>Q13</f>
        <v>2411601.2400000002</v>
      </c>
      <c r="R15" s="450">
        <f>SUM(R13:R14)</f>
        <v>471340</v>
      </c>
      <c r="S15" s="451">
        <f>S13</f>
        <v>2011601.2400000002</v>
      </c>
      <c r="T15" s="514">
        <f>SUM(T13:T14)</f>
        <v>459400</v>
      </c>
      <c r="U15" s="454">
        <f>U13</f>
        <v>1611601.2400000002</v>
      </c>
      <c r="V15" s="514">
        <f>SUM(V13:V14)</f>
        <v>447400</v>
      </c>
      <c r="W15" s="454">
        <f>W13</f>
        <v>1211601.2400000002</v>
      </c>
      <c r="X15" s="489">
        <f>SUM(X13:X14)</f>
        <v>435400</v>
      </c>
      <c r="Y15" s="454">
        <f>Y13</f>
        <v>811601.24000000022</v>
      </c>
      <c r="Z15" s="489">
        <f>SUM(Z13:Z14)</f>
        <v>423400</v>
      </c>
      <c r="AA15" s="454">
        <f>AA13</f>
        <v>411601.24000000022</v>
      </c>
      <c r="AB15" s="512">
        <f>SUM(AB13:AB14)</f>
        <v>423001.24</v>
      </c>
      <c r="AC15" s="456">
        <f>AC13</f>
        <v>0</v>
      </c>
      <c r="AD15" s="493">
        <v>0</v>
      </c>
      <c r="AE15" s="458">
        <v>0</v>
      </c>
      <c r="AF15" s="494"/>
      <c r="AG15" s="460"/>
      <c r="AH15" s="478"/>
      <c r="AI15" s="462"/>
      <c r="AJ15" s="478"/>
      <c r="AK15" s="462"/>
      <c r="AL15" s="478"/>
      <c r="AM15" s="462"/>
      <c r="AN15" s="495"/>
      <c r="AO15" s="462"/>
      <c r="AP15" s="478"/>
      <c r="AQ15" s="462"/>
      <c r="AR15" s="478"/>
      <c r="AS15" s="462"/>
      <c r="AT15" s="478"/>
      <c r="AU15" s="462"/>
      <c r="AV15" s="495"/>
      <c r="AW15" s="462"/>
      <c r="AX15" s="478"/>
      <c r="AY15" s="462"/>
      <c r="AZ15" s="516"/>
      <c r="BA15" s="517"/>
    </row>
    <row r="16" spans="1:53" ht="12.75" hidden="1" customHeight="1" x14ac:dyDescent="0.2">
      <c r="A16" s="518"/>
      <c r="B16" s="519"/>
      <c r="C16" s="520"/>
      <c r="D16" s="521"/>
      <c r="E16" s="522"/>
      <c r="F16" s="523"/>
      <c r="G16" s="522"/>
      <c r="H16" s="521"/>
      <c r="I16" s="520"/>
      <c r="J16" s="524"/>
      <c r="K16" s="525"/>
      <c r="L16" s="526"/>
      <c r="M16" s="527"/>
      <c r="N16" s="528"/>
      <c r="O16" s="529"/>
      <c r="P16" s="530"/>
      <c r="Q16" s="527"/>
      <c r="R16" s="531"/>
      <c r="S16" s="532"/>
      <c r="T16" s="529"/>
      <c r="U16" s="533"/>
      <c r="V16" s="529"/>
      <c r="W16" s="533"/>
      <c r="X16" s="525"/>
      <c r="Y16" s="533"/>
      <c r="Z16" s="525"/>
      <c r="AA16" s="533"/>
      <c r="AB16" s="529"/>
      <c r="AC16" s="534"/>
      <c r="AD16" s="529"/>
      <c r="AE16" s="533"/>
      <c r="AF16" s="535"/>
      <c r="AG16" s="536"/>
      <c r="AH16" s="537"/>
      <c r="AI16" s="538"/>
      <c r="AJ16" s="539"/>
      <c r="AK16" s="540"/>
      <c r="AL16" s="539"/>
      <c r="AM16" s="540"/>
      <c r="AN16" s="541"/>
      <c r="AO16" s="540"/>
      <c r="AP16" s="539"/>
      <c r="AQ16" s="540"/>
      <c r="AR16" s="539"/>
      <c r="AS16" s="540"/>
      <c r="AT16" s="539"/>
      <c r="AU16" s="540"/>
      <c r="AV16" s="541"/>
      <c r="AW16" s="540"/>
      <c r="AX16" s="539"/>
      <c r="AY16" s="540"/>
      <c r="AZ16" s="542"/>
      <c r="BA16" s="543"/>
    </row>
    <row r="17" spans="1:53" ht="12.75" hidden="1" customHeight="1" x14ac:dyDescent="0.2">
      <c r="A17" s="518"/>
      <c r="B17" s="519"/>
      <c r="C17" s="520"/>
      <c r="D17" s="521"/>
      <c r="E17" s="522"/>
      <c r="F17" s="523"/>
      <c r="G17" s="522"/>
      <c r="H17" s="521"/>
      <c r="I17" s="520"/>
      <c r="J17" s="544"/>
      <c r="K17" s="525"/>
      <c r="L17" s="545"/>
      <c r="M17" s="527"/>
      <c r="N17" s="546"/>
      <c r="O17" s="529"/>
      <c r="P17" s="530"/>
      <c r="Q17" s="527"/>
      <c r="R17" s="531"/>
      <c r="S17" s="532"/>
      <c r="T17" s="529"/>
      <c r="U17" s="533"/>
      <c r="V17" s="529"/>
      <c r="W17" s="533"/>
      <c r="X17" s="525"/>
      <c r="Y17" s="533"/>
      <c r="Z17" s="525"/>
      <c r="AA17" s="533"/>
      <c r="AB17" s="529"/>
      <c r="AC17" s="534"/>
      <c r="AD17" s="529"/>
      <c r="AE17" s="533"/>
      <c r="AF17" s="535"/>
      <c r="AG17" s="536"/>
      <c r="AH17" s="537"/>
      <c r="AI17" s="538"/>
      <c r="AJ17" s="537"/>
      <c r="AK17" s="538"/>
      <c r="AL17" s="537"/>
      <c r="AM17" s="538"/>
      <c r="AN17" s="547"/>
      <c r="AO17" s="538"/>
      <c r="AP17" s="537"/>
      <c r="AQ17" s="538"/>
      <c r="AR17" s="537"/>
      <c r="AS17" s="538"/>
      <c r="AT17" s="537"/>
      <c r="AU17" s="538"/>
      <c r="AV17" s="547"/>
      <c r="AW17" s="538"/>
      <c r="AX17" s="537"/>
      <c r="AY17" s="538"/>
      <c r="AZ17" s="548"/>
      <c r="BA17" s="543"/>
    </row>
    <row r="18" spans="1:53" ht="12.75" hidden="1" customHeight="1" x14ac:dyDescent="0.2">
      <c r="A18" s="549"/>
      <c r="B18" s="550"/>
      <c r="C18" s="551"/>
      <c r="D18" s="552"/>
      <c r="E18" s="553"/>
      <c r="F18" s="554"/>
      <c r="G18" s="553"/>
      <c r="H18" s="552"/>
      <c r="I18" s="551"/>
      <c r="J18" s="555"/>
      <c r="K18" s="556"/>
      <c r="L18" s="557"/>
      <c r="M18" s="558"/>
      <c r="N18" s="559"/>
      <c r="O18" s="560"/>
      <c r="P18" s="561"/>
      <c r="Q18" s="558"/>
      <c r="R18" s="562"/>
      <c r="S18" s="563"/>
      <c r="T18" s="560"/>
      <c r="U18" s="564"/>
      <c r="V18" s="560"/>
      <c r="W18" s="564"/>
      <c r="X18" s="556"/>
      <c r="Y18" s="564"/>
      <c r="Z18" s="556"/>
      <c r="AA18" s="564"/>
      <c r="AB18" s="560"/>
      <c r="AC18" s="565"/>
      <c r="AD18" s="560"/>
      <c r="AE18" s="564"/>
      <c r="AF18" s="556"/>
      <c r="AG18" s="564"/>
      <c r="AH18" s="560"/>
      <c r="AI18" s="565"/>
      <c r="AJ18" s="560"/>
      <c r="AK18" s="565"/>
      <c r="AL18" s="560"/>
      <c r="AM18" s="565"/>
      <c r="AN18" s="566"/>
      <c r="AO18" s="567"/>
      <c r="AP18" s="560"/>
      <c r="AQ18" s="567"/>
      <c r="AR18" s="560"/>
      <c r="AS18" s="567"/>
      <c r="AT18" s="560"/>
      <c r="AU18" s="567"/>
      <c r="AV18" s="566"/>
      <c r="AW18" s="567"/>
      <c r="AX18" s="560"/>
      <c r="AY18" s="567"/>
      <c r="AZ18" s="542"/>
      <c r="BA18" s="543"/>
    </row>
    <row r="19" spans="1:53" ht="13.5" customHeight="1" x14ac:dyDescent="0.2">
      <c r="A19" s="1023">
        <v>5</v>
      </c>
      <c r="B19" s="1016" t="s">
        <v>1012</v>
      </c>
      <c r="C19" s="568" t="s">
        <v>1009</v>
      </c>
      <c r="D19" s="569"/>
      <c r="E19" s="570"/>
      <c r="F19" s="571">
        <v>159188</v>
      </c>
      <c r="G19" s="570"/>
      <c r="H19" s="569"/>
      <c r="I19" s="568" t="s">
        <v>1009</v>
      </c>
      <c r="J19" s="572"/>
      <c r="K19" s="573"/>
      <c r="L19" s="574" t="e">
        <f>3060000-#REF!</f>
        <v>#REF!</v>
      </c>
      <c r="M19" s="575" t="e">
        <f>L19</f>
        <v>#REF!</v>
      </c>
      <c r="N19" s="434">
        <v>1232144</v>
      </c>
      <c r="O19" s="576">
        <v>137000</v>
      </c>
      <c r="P19" s="577"/>
      <c r="Q19" s="575">
        <f>N19-O19</f>
        <v>1095144</v>
      </c>
      <c r="R19" s="578">
        <v>137000</v>
      </c>
      <c r="S19" s="579">
        <f>Q19-R19</f>
        <v>958144</v>
      </c>
      <c r="T19" s="576">
        <v>137000</v>
      </c>
      <c r="U19" s="580">
        <f>S19-T19</f>
        <v>821144</v>
      </c>
      <c r="V19" s="576">
        <v>137000</v>
      </c>
      <c r="W19" s="580">
        <f>U19-V19</f>
        <v>684144</v>
      </c>
      <c r="X19" s="573">
        <v>137000</v>
      </c>
      <c r="Y19" s="580">
        <f>W19-X19</f>
        <v>547144</v>
      </c>
      <c r="Z19" s="573">
        <v>137000</v>
      </c>
      <c r="AA19" s="580">
        <f>Y19-Z19</f>
        <v>410144</v>
      </c>
      <c r="AB19" s="576">
        <v>137000</v>
      </c>
      <c r="AC19" s="581">
        <f>AA19-AB19</f>
        <v>273144</v>
      </c>
      <c r="AD19" s="576">
        <v>137000</v>
      </c>
      <c r="AE19" s="580">
        <f>AC19-AD19</f>
        <v>136144</v>
      </c>
      <c r="AF19" s="582">
        <v>136144</v>
      </c>
      <c r="AG19" s="583">
        <f>AE19-AF19</f>
        <v>0</v>
      </c>
      <c r="AH19" s="584"/>
      <c r="AI19" s="585"/>
      <c r="AJ19" s="584"/>
      <c r="AK19" s="585"/>
      <c r="AL19" s="584"/>
      <c r="AM19" s="585"/>
      <c r="AN19" s="586"/>
      <c r="AO19" s="585"/>
      <c r="AP19" s="584"/>
      <c r="AQ19" s="585"/>
      <c r="AR19" s="584"/>
      <c r="AS19" s="587"/>
      <c r="AT19" s="584"/>
      <c r="AU19" s="585"/>
      <c r="AV19" s="586"/>
      <c r="AW19" s="585"/>
      <c r="AX19" s="584"/>
      <c r="AY19" s="585"/>
      <c r="AZ19" s="548"/>
      <c r="BA19" s="543"/>
    </row>
    <row r="20" spans="1:53" x14ac:dyDescent="0.2">
      <c r="A20" s="1024"/>
      <c r="B20" s="1014"/>
      <c r="C20" s="568" t="s">
        <v>1010</v>
      </c>
      <c r="D20" s="588">
        <v>0.03</v>
      </c>
      <c r="E20" s="570">
        <v>3500</v>
      </c>
      <c r="F20" s="571"/>
      <c r="G20" s="570"/>
      <c r="H20" s="569"/>
      <c r="I20" s="568" t="s">
        <v>1010</v>
      </c>
      <c r="J20" s="589">
        <v>2.7E-2</v>
      </c>
      <c r="K20" s="573">
        <v>6000</v>
      </c>
      <c r="L20" s="574"/>
      <c r="M20" s="575"/>
      <c r="N20" s="431">
        <f>1.64%+0.69%</f>
        <v>2.3299999999999998E-2</v>
      </c>
      <c r="O20" s="576">
        <f>28700-830</f>
        <v>27870</v>
      </c>
      <c r="P20" s="577"/>
      <c r="Q20" s="575"/>
      <c r="R20" s="578">
        <v>25300</v>
      </c>
      <c r="S20" s="579"/>
      <c r="T20" s="576">
        <v>21600</v>
      </c>
      <c r="U20" s="580"/>
      <c r="V20" s="576">
        <v>18600</v>
      </c>
      <c r="W20" s="580"/>
      <c r="X20" s="573">
        <v>15400</v>
      </c>
      <c r="Y20" s="580"/>
      <c r="Z20" s="573">
        <v>12200</v>
      </c>
      <c r="AA20" s="580"/>
      <c r="AB20" s="576">
        <v>9000</v>
      </c>
      <c r="AC20" s="581"/>
      <c r="AD20" s="576">
        <v>6000</v>
      </c>
      <c r="AE20" s="580"/>
      <c r="AF20" s="582">
        <v>3200</v>
      </c>
      <c r="AG20" s="583"/>
      <c r="AH20" s="584"/>
      <c r="AI20" s="585"/>
      <c r="AJ20" s="584"/>
      <c r="AK20" s="585"/>
      <c r="AL20" s="584"/>
      <c r="AM20" s="585"/>
      <c r="AN20" s="586"/>
      <c r="AO20" s="585"/>
      <c r="AP20" s="584"/>
      <c r="AQ20" s="585"/>
      <c r="AR20" s="584"/>
      <c r="AS20" s="585"/>
      <c r="AT20" s="584"/>
      <c r="AU20" s="585"/>
      <c r="AV20" s="586"/>
      <c r="AW20" s="585"/>
      <c r="AX20" s="584"/>
      <c r="AY20" s="585"/>
      <c r="AZ20" s="548"/>
      <c r="BA20" s="543"/>
    </row>
    <row r="21" spans="1:53" x14ac:dyDescent="0.2">
      <c r="A21" s="1025"/>
      <c r="B21" s="1015"/>
      <c r="C21" s="590" t="s">
        <v>1011</v>
      </c>
      <c r="D21" s="591"/>
      <c r="E21" s="592">
        <f>SUM(E19:E20)</f>
        <v>3500</v>
      </c>
      <c r="F21" s="593">
        <f>SUM(F19)</f>
        <v>159188</v>
      </c>
      <c r="G21" s="592">
        <f>SUM(G19:G20)</f>
        <v>0</v>
      </c>
      <c r="H21" s="591">
        <f>H19</f>
        <v>0</v>
      </c>
      <c r="I21" s="590" t="s">
        <v>1011</v>
      </c>
      <c r="J21" s="594"/>
      <c r="K21" s="595">
        <f>SUM(K19:K20)</f>
        <v>6000</v>
      </c>
      <c r="L21" s="596"/>
      <c r="M21" s="597" t="e">
        <f>M19</f>
        <v>#REF!</v>
      </c>
      <c r="N21" s="511"/>
      <c r="O21" s="598">
        <f>SUM(O19:O20)</f>
        <v>164870</v>
      </c>
      <c r="P21" s="599"/>
      <c r="Q21" s="597">
        <f>Q19</f>
        <v>1095144</v>
      </c>
      <c r="R21" s="598">
        <f>SUM(R19:R20)</f>
        <v>162300</v>
      </c>
      <c r="S21" s="600">
        <f>S19</f>
        <v>958144</v>
      </c>
      <c r="T21" s="598">
        <f>SUM(T19:T20)</f>
        <v>158600</v>
      </c>
      <c r="U21" s="600">
        <f>U19</f>
        <v>821144</v>
      </c>
      <c r="V21" s="598">
        <f>SUM(V19:V20)</f>
        <v>155600</v>
      </c>
      <c r="W21" s="600">
        <f>W19</f>
        <v>684144</v>
      </c>
      <c r="X21" s="595">
        <f>SUM(X19:X20)</f>
        <v>152400</v>
      </c>
      <c r="Y21" s="600">
        <f>SUM(Y19)</f>
        <v>547144</v>
      </c>
      <c r="Z21" s="595">
        <f>SUM(Z19:Z20)</f>
        <v>149200</v>
      </c>
      <c r="AA21" s="600">
        <f>SUM(AA19)</f>
        <v>410144</v>
      </c>
      <c r="AB21" s="598">
        <f>AB19+AB20</f>
        <v>146000</v>
      </c>
      <c r="AC21" s="601">
        <v>0</v>
      </c>
      <c r="AD21" s="598">
        <f>SUM(AD19:AD20)</f>
        <v>143000</v>
      </c>
      <c r="AE21" s="600">
        <v>0</v>
      </c>
      <c r="AF21" s="602">
        <f>AF19+AF20</f>
        <v>139344</v>
      </c>
      <c r="AG21" s="603">
        <f>AG19+AG20</f>
        <v>0</v>
      </c>
      <c r="AH21" s="604"/>
      <c r="AI21" s="605"/>
      <c r="AJ21" s="604"/>
      <c r="AK21" s="605"/>
      <c r="AL21" s="604"/>
      <c r="AM21" s="605"/>
      <c r="AN21" s="606"/>
      <c r="AO21" s="605"/>
      <c r="AP21" s="604"/>
      <c r="AQ21" s="605"/>
      <c r="AR21" s="604"/>
      <c r="AS21" s="605"/>
      <c r="AT21" s="604"/>
      <c r="AU21" s="605"/>
      <c r="AV21" s="606"/>
      <c r="AW21" s="605"/>
      <c r="AX21" s="604"/>
      <c r="AY21" s="605"/>
      <c r="AZ21" s="516"/>
      <c r="BA21" s="517"/>
    </row>
    <row r="22" spans="1:53" x14ac:dyDescent="0.2">
      <c r="A22" s="607">
        <v>6</v>
      </c>
      <c r="B22" s="608" t="s">
        <v>1015</v>
      </c>
      <c r="C22" s="568" t="s">
        <v>1009</v>
      </c>
      <c r="D22" s="569"/>
      <c r="E22" s="570"/>
      <c r="F22" s="571"/>
      <c r="G22" s="570"/>
      <c r="H22" s="569"/>
      <c r="I22" s="568"/>
      <c r="J22" s="572"/>
      <c r="K22" s="573"/>
      <c r="L22" s="574"/>
      <c r="M22" s="576"/>
      <c r="N22" s="434">
        <v>6824451.8899999997</v>
      </c>
      <c r="O22" s="501">
        <f>75000-2648.11</f>
        <v>72351.89</v>
      </c>
      <c r="P22" s="609"/>
      <c r="Q22" s="610">
        <f>N22-O22</f>
        <v>6752100</v>
      </c>
      <c r="R22" s="498">
        <v>100000</v>
      </c>
      <c r="S22" s="442">
        <f>Q22-R22</f>
        <v>6652100</v>
      </c>
      <c r="T22" s="498">
        <v>252100</v>
      </c>
      <c r="U22" s="442">
        <f>S22-T22</f>
        <v>6400000</v>
      </c>
      <c r="V22" s="498">
        <v>400000</v>
      </c>
      <c r="W22" s="442">
        <f>U22-V22</f>
        <v>6000000</v>
      </c>
      <c r="X22" s="500">
        <v>400000</v>
      </c>
      <c r="Y22" s="442">
        <f>W22-X22</f>
        <v>5600000</v>
      </c>
      <c r="Z22" s="482">
        <v>400000</v>
      </c>
      <c r="AA22" s="442">
        <f>Y22-Z22</f>
        <v>5200000</v>
      </c>
      <c r="AB22" s="438">
        <v>400000</v>
      </c>
      <c r="AC22" s="444">
        <f>AA22-AB22</f>
        <v>4800000</v>
      </c>
      <c r="AD22" s="438">
        <v>400000</v>
      </c>
      <c r="AE22" s="442">
        <f>AC22-AD22</f>
        <v>4400000</v>
      </c>
      <c r="AF22" s="611">
        <v>400000</v>
      </c>
      <c r="AG22" s="612">
        <f>AE22-AF22</f>
        <v>4000000</v>
      </c>
      <c r="AH22" s="613">
        <v>400000</v>
      </c>
      <c r="AI22" s="614">
        <f>AG22-AH22</f>
        <v>3600000</v>
      </c>
      <c r="AJ22" s="613">
        <v>400000</v>
      </c>
      <c r="AK22" s="615">
        <f>AI22-AJ22</f>
        <v>3200000</v>
      </c>
      <c r="AL22" s="613">
        <v>400000</v>
      </c>
      <c r="AM22" s="616">
        <f>AK22-AL22</f>
        <v>2800000</v>
      </c>
      <c r="AN22" s="617">
        <v>400000</v>
      </c>
      <c r="AO22" s="614">
        <f>AM22-AN22</f>
        <v>2400000</v>
      </c>
      <c r="AP22" s="613">
        <v>400000</v>
      </c>
      <c r="AQ22" s="615">
        <f>AO22-AP22</f>
        <v>2000000</v>
      </c>
      <c r="AR22" s="613">
        <v>400000</v>
      </c>
      <c r="AS22" s="615">
        <f>AQ22-AR22</f>
        <v>1600000</v>
      </c>
      <c r="AT22" s="613">
        <v>400000</v>
      </c>
      <c r="AU22" s="616">
        <f>AS22-AT22</f>
        <v>1200000</v>
      </c>
      <c r="AV22" s="618">
        <v>400000</v>
      </c>
      <c r="AW22" s="615">
        <f>AU22-AV22</f>
        <v>800000</v>
      </c>
      <c r="AX22" s="613">
        <v>400000</v>
      </c>
      <c r="AY22" s="615">
        <f>AW22-AX22</f>
        <v>400000</v>
      </c>
      <c r="AZ22" s="619">
        <v>400000</v>
      </c>
      <c r="BA22" s="620">
        <f>AY22-AZ22</f>
        <v>0</v>
      </c>
    </row>
    <row r="23" spans="1:53" x14ac:dyDescent="0.2">
      <c r="A23" s="607"/>
      <c r="B23" s="608" t="s">
        <v>1016</v>
      </c>
      <c r="C23" s="568" t="s">
        <v>1010</v>
      </c>
      <c r="D23" s="569"/>
      <c r="E23" s="570"/>
      <c r="F23" s="571"/>
      <c r="G23" s="570"/>
      <c r="H23" s="569"/>
      <c r="I23" s="568"/>
      <c r="J23" s="572"/>
      <c r="K23" s="573"/>
      <c r="L23" s="574"/>
      <c r="M23" s="576"/>
      <c r="N23" s="431">
        <v>5.7000000000000002E-3</v>
      </c>
      <c r="O23" s="438">
        <v>38900</v>
      </c>
      <c r="P23" s="507"/>
      <c r="Q23" s="610"/>
      <c r="R23" s="438">
        <v>38000</v>
      </c>
      <c r="S23" s="442"/>
      <c r="T23" s="438">
        <v>37900</v>
      </c>
      <c r="U23" s="442"/>
      <c r="V23" s="438">
        <v>36480</v>
      </c>
      <c r="W23" s="442"/>
      <c r="X23" s="482">
        <v>34200</v>
      </c>
      <c r="Y23" s="442"/>
      <c r="Z23" s="482">
        <v>31920</v>
      </c>
      <c r="AA23" s="442"/>
      <c r="AB23" s="438">
        <v>29640</v>
      </c>
      <c r="AC23" s="444"/>
      <c r="AD23" s="438">
        <v>27360</v>
      </c>
      <c r="AE23" s="442"/>
      <c r="AF23" s="611">
        <v>25080</v>
      </c>
      <c r="AG23" s="621"/>
      <c r="AH23" s="613">
        <v>22800</v>
      </c>
      <c r="AI23" s="615"/>
      <c r="AJ23" s="613">
        <v>20520</v>
      </c>
      <c r="AK23" s="615"/>
      <c r="AL23" s="613">
        <v>18240</v>
      </c>
      <c r="AM23" s="616"/>
      <c r="AN23" s="622">
        <v>15960</v>
      </c>
      <c r="AO23" s="615"/>
      <c r="AP23" s="613">
        <v>13680</v>
      </c>
      <c r="AQ23" s="615"/>
      <c r="AR23" s="613">
        <v>11400</v>
      </c>
      <c r="AS23" s="615"/>
      <c r="AT23" s="613">
        <v>9120</v>
      </c>
      <c r="AU23" s="616"/>
      <c r="AV23" s="622">
        <v>6840</v>
      </c>
      <c r="AW23" s="615"/>
      <c r="AX23" s="613">
        <v>4560</v>
      </c>
      <c r="AY23" s="615"/>
      <c r="AZ23" s="623">
        <v>2280</v>
      </c>
      <c r="BA23" s="543"/>
    </row>
    <row r="24" spans="1:53" x14ac:dyDescent="0.2">
      <c r="A24" s="624"/>
      <c r="B24" s="625"/>
      <c r="C24" s="590" t="s">
        <v>1011</v>
      </c>
      <c r="D24" s="591"/>
      <c r="E24" s="592"/>
      <c r="F24" s="593"/>
      <c r="G24" s="592"/>
      <c r="H24" s="591"/>
      <c r="I24" s="590"/>
      <c r="J24" s="594"/>
      <c r="K24" s="595"/>
      <c r="L24" s="596"/>
      <c r="M24" s="598"/>
      <c r="N24" s="511"/>
      <c r="O24" s="512">
        <f>SUM(O22:O23)</f>
        <v>111251.89</v>
      </c>
      <c r="P24" s="515"/>
      <c r="Q24" s="626">
        <f t="shared" ref="Q24:BA24" si="0">SUM(Q22:Q23)</f>
        <v>6752100</v>
      </c>
      <c r="R24" s="514">
        <f t="shared" si="0"/>
        <v>138000</v>
      </c>
      <c r="S24" s="627">
        <f t="shared" si="0"/>
        <v>6652100</v>
      </c>
      <c r="T24" s="514">
        <f t="shared" si="0"/>
        <v>290000</v>
      </c>
      <c r="U24" s="627">
        <f t="shared" si="0"/>
        <v>6400000</v>
      </c>
      <c r="V24" s="514">
        <f t="shared" si="0"/>
        <v>436480</v>
      </c>
      <c r="W24" s="627">
        <f t="shared" si="0"/>
        <v>6000000</v>
      </c>
      <c r="X24" s="489">
        <f t="shared" si="0"/>
        <v>434200</v>
      </c>
      <c r="Y24" s="627">
        <f t="shared" si="0"/>
        <v>5600000</v>
      </c>
      <c r="Z24" s="489">
        <f t="shared" si="0"/>
        <v>431920</v>
      </c>
      <c r="AA24" s="627">
        <f t="shared" si="0"/>
        <v>5200000</v>
      </c>
      <c r="AB24" s="489">
        <f t="shared" si="0"/>
        <v>429640</v>
      </c>
      <c r="AC24" s="628">
        <f t="shared" si="0"/>
        <v>4800000</v>
      </c>
      <c r="AD24" s="514">
        <f t="shared" si="0"/>
        <v>427360</v>
      </c>
      <c r="AE24" s="515">
        <f t="shared" si="0"/>
        <v>4400000</v>
      </c>
      <c r="AF24" s="489">
        <f t="shared" si="0"/>
        <v>425080</v>
      </c>
      <c r="AG24" s="627">
        <f t="shared" si="0"/>
        <v>4000000</v>
      </c>
      <c r="AH24" s="514">
        <f t="shared" si="0"/>
        <v>422800</v>
      </c>
      <c r="AI24" s="515">
        <f t="shared" si="0"/>
        <v>3600000</v>
      </c>
      <c r="AJ24" s="489">
        <f t="shared" si="0"/>
        <v>420520</v>
      </c>
      <c r="AK24" s="629">
        <f t="shared" si="0"/>
        <v>3200000</v>
      </c>
      <c r="AL24" s="514">
        <f t="shared" si="0"/>
        <v>418240</v>
      </c>
      <c r="AM24" s="515">
        <f t="shared" si="0"/>
        <v>2800000</v>
      </c>
      <c r="AN24" s="489">
        <f t="shared" si="0"/>
        <v>415960</v>
      </c>
      <c r="AO24" s="629">
        <f t="shared" si="0"/>
        <v>2400000</v>
      </c>
      <c r="AP24" s="514">
        <f t="shared" si="0"/>
        <v>413680</v>
      </c>
      <c r="AQ24" s="515">
        <f t="shared" si="0"/>
        <v>2000000</v>
      </c>
      <c r="AR24" s="489">
        <f t="shared" si="0"/>
        <v>411400</v>
      </c>
      <c r="AS24" s="629">
        <f t="shared" si="0"/>
        <v>1600000</v>
      </c>
      <c r="AT24" s="514">
        <f t="shared" si="0"/>
        <v>409120</v>
      </c>
      <c r="AU24" s="515">
        <f t="shared" si="0"/>
        <v>1200000</v>
      </c>
      <c r="AV24" s="489">
        <f t="shared" si="0"/>
        <v>406840</v>
      </c>
      <c r="AW24" s="629">
        <f t="shared" si="0"/>
        <v>800000</v>
      </c>
      <c r="AX24" s="514">
        <f t="shared" si="0"/>
        <v>404560</v>
      </c>
      <c r="AY24" s="515">
        <f t="shared" si="0"/>
        <v>400000</v>
      </c>
      <c r="AZ24" s="489">
        <f t="shared" si="0"/>
        <v>402280</v>
      </c>
      <c r="BA24" s="627">
        <f t="shared" si="0"/>
        <v>0</v>
      </c>
    </row>
    <row r="25" spans="1:53" x14ac:dyDescent="0.2">
      <c r="A25" s="607">
        <v>7</v>
      </c>
      <c r="B25" s="608" t="s">
        <v>1017</v>
      </c>
      <c r="C25" s="568" t="s">
        <v>1009</v>
      </c>
      <c r="D25" s="569"/>
      <c r="E25" s="570"/>
      <c r="F25" s="571"/>
      <c r="G25" s="570"/>
      <c r="H25" s="569"/>
      <c r="I25" s="568"/>
      <c r="J25" s="572"/>
      <c r="K25" s="573"/>
      <c r="L25" s="574"/>
      <c r="M25" s="576"/>
      <c r="N25" s="434">
        <v>7349026.1100000003</v>
      </c>
      <c r="O25" s="438">
        <v>735000</v>
      </c>
      <c r="P25" s="507"/>
      <c r="Q25" s="434">
        <f>N25-O25</f>
        <v>6614026.1100000003</v>
      </c>
      <c r="R25" s="438">
        <v>735000</v>
      </c>
      <c r="S25" s="415">
        <f>Q25-R25</f>
        <v>5879026.1100000003</v>
      </c>
      <c r="T25" s="438">
        <v>735000</v>
      </c>
      <c r="U25" s="415">
        <f>S25-T25</f>
        <v>5144026.1100000003</v>
      </c>
      <c r="V25" s="438">
        <v>735000</v>
      </c>
      <c r="W25" s="415">
        <f>U25-V25</f>
        <v>4409026.1100000003</v>
      </c>
      <c r="X25" s="482">
        <v>735000</v>
      </c>
      <c r="Y25" s="415">
        <f>W25-X25</f>
        <v>3674026.1100000003</v>
      </c>
      <c r="Z25" s="482">
        <v>735000</v>
      </c>
      <c r="AA25" s="415">
        <f>Y25-Z25</f>
        <v>2939026.1100000003</v>
      </c>
      <c r="AB25" s="438">
        <v>735000</v>
      </c>
      <c r="AC25" s="417">
        <f>AA25-AB25</f>
        <v>2204026.1100000003</v>
      </c>
      <c r="AD25" s="438">
        <v>735000</v>
      </c>
      <c r="AE25" s="415">
        <f>AC25-AD25</f>
        <v>1469026.1100000003</v>
      </c>
      <c r="AF25" s="611">
        <v>735000</v>
      </c>
      <c r="AG25" s="630">
        <f>AE25-AF25</f>
        <v>734026.11000000034</v>
      </c>
      <c r="AH25" s="631">
        <v>734026.11</v>
      </c>
      <c r="AI25" s="615"/>
      <c r="AJ25" s="613"/>
      <c r="AK25" s="615"/>
      <c r="AL25" s="613"/>
      <c r="AM25" s="616"/>
      <c r="AN25" s="622"/>
      <c r="AO25" s="615"/>
      <c r="AP25" s="613"/>
      <c r="AQ25" s="615"/>
      <c r="AR25" s="613"/>
      <c r="AS25" s="615"/>
      <c r="AT25" s="613"/>
      <c r="AU25" s="616"/>
      <c r="AV25" s="622"/>
      <c r="AW25" s="615"/>
      <c r="AX25" s="613"/>
      <c r="AY25" s="615"/>
      <c r="AZ25" s="548"/>
      <c r="BA25" s="543"/>
    </row>
    <row r="26" spans="1:53" x14ac:dyDescent="0.2">
      <c r="A26" s="607"/>
      <c r="B26" s="608" t="s">
        <v>1018</v>
      </c>
      <c r="C26" s="568" t="s">
        <v>1010</v>
      </c>
      <c r="D26" s="569"/>
      <c r="E26" s="570"/>
      <c r="F26" s="571"/>
      <c r="G26" s="570"/>
      <c r="H26" s="569"/>
      <c r="I26" s="568"/>
      <c r="J26" s="572"/>
      <c r="K26" s="573"/>
      <c r="L26" s="574"/>
      <c r="M26" s="576"/>
      <c r="N26" s="431">
        <f>1.64%+0.73%</f>
        <v>2.3699999999999999E-2</v>
      </c>
      <c r="O26" s="438">
        <v>169040</v>
      </c>
      <c r="P26" s="507"/>
      <c r="Q26" s="610"/>
      <c r="R26" s="438">
        <v>152800</v>
      </c>
      <c r="S26" s="442"/>
      <c r="T26" s="438">
        <v>135400</v>
      </c>
      <c r="U26" s="442"/>
      <c r="V26" s="438">
        <f>121920-4000</f>
        <v>117920</v>
      </c>
      <c r="W26" s="442"/>
      <c r="X26" s="482">
        <v>100500</v>
      </c>
      <c r="Y26" s="442"/>
      <c r="Z26" s="482">
        <v>83100</v>
      </c>
      <c r="AA26" s="442"/>
      <c r="AB26" s="438">
        <v>65700</v>
      </c>
      <c r="AC26" s="444"/>
      <c r="AD26" s="438">
        <v>48300</v>
      </c>
      <c r="AE26" s="442"/>
      <c r="AF26" s="611">
        <v>30820</v>
      </c>
      <c r="AG26" s="621"/>
      <c r="AH26" s="613">
        <v>13200</v>
      </c>
      <c r="AI26" s="615"/>
      <c r="AJ26" s="613"/>
      <c r="AK26" s="615"/>
      <c r="AL26" s="613"/>
      <c r="AM26" s="616"/>
      <c r="AN26" s="622"/>
      <c r="AO26" s="615"/>
      <c r="AP26" s="613"/>
      <c r="AQ26" s="615"/>
      <c r="AR26" s="613"/>
      <c r="AS26" s="615"/>
      <c r="AT26" s="613"/>
      <c r="AU26" s="616"/>
      <c r="AV26" s="622"/>
      <c r="AW26" s="615"/>
      <c r="AX26" s="613"/>
      <c r="AY26" s="615"/>
      <c r="AZ26" s="548"/>
      <c r="BA26" s="543"/>
    </row>
    <row r="27" spans="1:53" ht="13.5" thickBot="1" x14ac:dyDescent="0.25">
      <c r="A27" s="607"/>
      <c r="B27" s="608"/>
      <c r="C27" s="590" t="s">
        <v>1011</v>
      </c>
      <c r="D27" s="569"/>
      <c r="E27" s="570"/>
      <c r="F27" s="571"/>
      <c r="G27" s="570"/>
      <c r="H27" s="569"/>
      <c r="I27" s="568"/>
      <c r="J27" s="572"/>
      <c r="K27" s="573"/>
      <c r="L27" s="574"/>
      <c r="M27" s="576"/>
      <c r="N27" s="434"/>
      <c r="O27" s="632">
        <f>SUM(O25:O26)</f>
        <v>904040</v>
      </c>
      <c r="P27" s="633"/>
      <c r="Q27" s="634">
        <f t="shared" ref="Q27:BA27" si="1">SUM(Q25:Q26)</f>
        <v>6614026.1100000003</v>
      </c>
      <c r="R27" s="632">
        <f t="shared" si="1"/>
        <v>887800</v>
      </c>
      <c r="S27" s="635">
        <f t="shared" si="1"/>
        <v>5879026.1100000003</v>
      </c>
      <c r="T27" s="632">
        <f t="shared" si="1"/>
        <v>870400</v>
      </c>
      <c r="U27" s="635">
        <f t="shared" si="1"/>
        <v>5144026.1100000003</v>
      </c>
      <c r="V27" s="632">
        <f t="shared" si="1"/>
        <v>852920</v>
      </c>
      <c r="W27" s="635">
        <f t="shared" si="1"/>
        <v>4409026.1100000003</v>
      </c>
      <c r="X27" s="636">
        <f t="shared" si="1"/>
        <v>835500</v>
      </c>
      <c r="Y27" s="635">
        <f t="shared" si="1"/>
        <v>3674026.1100000003</v>
      </c>
      <c r="Z27" s="636">
        <f t="shared" si="1"/>
        <v>818100</v>
      </c>
      <c r="AA27" s="635">
        <f t="shared" si="1"/>
        <v>2939026.1100000003</v>
      </c>
      <c r="AB27" s="636">
        <f t="shared" si="1"/>
        <v>800700</v>
      </c>
      <c r="AC27" s="637">
        <f t="shared" si="1"/>
        <v>2204026.1100000003</v>
      </c>
      <c r="AD27" s="632">
        <f t="shared" si="1"/>
        <v>783300</v>
      </c>
      <c r="AE27" s="633">
        <f t="shared" si="1"/>
        <v>1469026.1100000003</v>
      </c>
      <c r="AF27" s="636">
        <f t="shared" si="1"/>
        <v>765820</v>
      </c>
      <c r="AG27" s="635">
        <f t="shared" si="1"/>
        <v>734026.11000000034</v>
      </c>
      <c r="AH27" s="632">
        <f t="shared" si="1"/>
        <v>747226.11</v>
      </c>
      <c r="AI27" s="633">
        <f t="shared" si="1"/>
        <v>0</v>
      </c>
      <c r="AJ27" s="636">
        <f t="shared" si="1"/>
        <v>0</v>
      </c>
      <c r="AK27" s="637">
        <f t="shared" si="1"/>
        <v>0</v>
      </c>
      <c r="AL27" s="632">
        <f t="shared" si="1"/>
        <v>0</v>
      </c>
      <c r="AM27" s="638">
        <f t="shared" si="1"/>
        <v>0</v>
      </c>
      <c r="AN27" s="639">
        <f t="shared" si="1"/>
        <v>0</v>
      </c>
      <c r="AO27" s="637">
        <f t="shared" si="1"/>
        <v>0</v>
      </c>
      <c r="AP27" s="632">
        <f t="shared" si="1"/>
        <v>0</v>
      </c>
      <c r="AQ27" s="637">
        <f t="shared" si="1"/>
        <v>0</v>
      </c>
      <c r="AR27" s="632">
        <f t="shared" si="1"/>
        <v>0</v>
      </c>
      <c r="AS27" s="637">
        <f t="shared" si="1"/>
        <v>0</v>
      </c>
      <c r="AT27" s="632">
        <f t="shared" si="1"/>
        <v>0</v>
      </c>
      <c r="AU27" s="633">
        <f t="shared" si="1"/>
        <v>0</v>
      </c>
      <c r="AV27" s="636">
        <f t="shared" si="1"/>
        <v>0</v>
      </c>
      <c r="AW27" s="637">
        <f t="shared" si="1"/>
        <v>0</v>
      </c>
      <c r="AX27" s="632">
        <f t="shared" si="1"/>
        <v>0</v>
      </c>
      <c r="AY27" s="633">
        <f t="shared" si="1"/>
        <v>0</v>
      </c>
      <c r="AZ27" s="636">
        <f t="shared" si="1"/>
        <v>0</v>
      </c>
      <c r="BA27" s="635">
        <f t="shared" si="1"/>
        <v>0</v>
      </c>
    </row>
    <row r="28" spans="1:53" ht="13.5" thickBot="1" x14ac:dyDescent="0.25">
      <c r="A28" s="1026" t="s">
        <v>1019</v>
      </c>
      <c r="B28" s="1026"/>
      <c r="C28" s="640" t="s">
        <v>1009</v>
      </c>
      <c r="D28" s="641">
        <f>D7+D10+D4+D13</f>
        <v>13100001.24</v>
      </c>
      <c r="E28" s="642" t="e">
        <f>#REF!+E7+E10</f>
        <v>#REF!</v>
      </c>
      <c r="F28" s="643" t="e">
        <f>#REF!+F7+F10</f>
        <v>#REF!</v>
      </c>
      <c r="G28" s="642">
        <f>G10+G7+G13+G4</f>
        <v>1676800</v>
      </c>
      <c r="H28" s="641">
        <f>H4+H7+H10+H13</f>
        <v>11423201.24</v>
      </c>
      <c r="I28" s="640" t="s">
        <v>1009</v>
      </c>
      <c r="J28" s="644">
        <f>J4+J7+J10+J13</f>
        <v>9746401.2400000002</v>
      </c>
      <c r="K28" s="645">
        <f>K10+K7+K13+K4</f>
        <v>1676800</v>
      </c>
      <c r="L28" s="646"/>
      <c r="M28" s="644">
        <f>M4+M10+M13+M7</f>
        <v>8069601.2400000002</v>
      </c>
      <c r="N28" s="641">
        <f>N4+N7+N10+N13+N19+N22+N25</f>
        <v>21798423.239999998</v>
      </c>
      <c r="O28" s="644">
        <f>O4+O7+O10+O13+O19+O22+O25</f>
        <v>2621151.8899999997</v>
      </c>
      <c r="P28" s="647"/>
      <c r="Q28" s="641">
        <f>Q4+Q7+Q10+Q13+Q16+Q19+Q22+Q25</f>
        <v>19177271.350000001</v>
      </c>
      <c r="R28" s="648">
        <f>R4+R7+R10+R13+R16+R19+R22+R25</f>
        <v>1916800</v>
      </c>
      <c r="S28" s="649">
        <f>S4+S7+S10+S13+S16+S19+S22+S25</f>
        <v>17260471.350000001</v>
      </c>
      <c r="T28" s="650">
        <f t="shared" ref="T28:BA28" si="2">T4+T7+T10+T13+T16+T19+T22+T25</f>
        <v>2068900</v>
      </c>
      <c r="U28" s="649">
        <f t="shared" si="2"/>
        <v>15191571.350000001</v>
      </c>
      <c r="V28" s="650">
        <f t="shared" si="2"/>
        <v>2216800</v>
      </c>
      <c r="W28" s="649">
        <f t="shared" si="2"/>
        <v>12974771.350000001</v>
      </c>
      <c r="X28" s="651">
        <f t="shared" si="2"/>
        <v>2217000</v>
      </c>
      <c r="Y28" s="649">
        <f t="shared" si="2"/>
        <v>10757771.350000001</v>
      </c>
      <c r="Z28" s="651">
        <f t="shared" si="2"/>
        <v>1797000</v>
      </c>
      <c r="AA28" s="649">
        <f t="shared" si="2"/>
        <v>8960771.3500000015</v>
      </c>
      <c r="AB28" s="650">
        <f t="shared" si="2"/>
        <v>1683601.24</v>
      </c>
      <c r="AC28" s="652">
        <f t="shared" si="2"/>
        <v>7277170.1100000003</v>
      </c>
      <c r="AD28" s="650">
        <f t="shared" si="2"/>
        <v>1272000</v>
      </c>
      <c r="AE28" s="649">
        <f t="shared" si="2"/>
        <v>6005170.1100000003</v>
      </c>
      <c r="AF28" s="651">
        <f t="shared" si="2"/>
        <v>1271144</v>
      </c>
      <c r="AG28" s="649">
        <f t="shared" si="2"/>
        <v>4734026.1100000003</v>
      </c>
      <c r="AH28" s="650">
        <f t="shared" si="2"/>
        <v>1134026.1099999999</v>
      </c>
      <c r="AI28" s="649">
        <f t="shared" si="2"/>
        <v>3600000</v>
      </c>
      <c r="AJ28" s="650">
        <f t="shared" si="2"/>
        <v>400000</v>
      </c>
      <c r="AK28" s="652">
        <f t="shared" si="2"/>
        <v>3200000</v>
      </c>
      <c r="AL28" s="650">
        <f t="shared" si="2"/>
        <v>400000</v>
      </c>
      <c r="AM28" s="653">
        <f t="shared" si="2"/>
        <v>2800000</v>
      </c>
      <c r="AN28" s="654">
        <f t="shared" si="2"/>
        <v>400000</v>
      </c>
      <c r="AO28" s="652">
        <f t="shared" si="2"/>
        <v>2400000</v>
      </c>
      <c r="AP28" s="650">
        <f t="shared" si="2"/>
        <v>400000</v>
      </c>
      <c r="AQ28" s="652">
        <f t="shared" si="2"/>
        <v>2000000</v>
      </c>
      <c r="AR28" s="650">
        <f t="shared" si="2"/>
        <v>400000</v>
      </c>
      <c r="AS28" s="652">
        <f t="shared" si="2"/>
        <v>1600000</v>
      </c>
      <c r="AT28" s="650">
        <f t="shared" si="2"/>
        <v>400000</v>
      </c>
      <c r="AU28" s="649">
        <f t="shared" si="2"/>
        <v>1200000</v>
      </c>
      <c r="AV28" s="650">
        <f t="shared" si="2"/>
        <v>400000</v>
      </c>
      <c r="AW28" s="652">
        <f t="shared" si="2"/>
        <v>800000</v>
      </c>
      <c r="AX28" s="650">
        <f t="shared" si="2"/>
        <v>400000</v>
      </c>
      <c r="AY28" s="653">
        <f t="shared" si="2"/>
        <v>400000</v>
      </c>
      <c r="AZ28" s="654">
        <f t="shared" si="2"/>
        <v>400000</v>
      </c>
      <c r="BA28" s="649">
        <f t="shared" si="2"/>
        <v>0</v>
      </c>
    </row>
    <row r="29" spans="1:53" ht="13.5" thickBot="1" x14ac:dyDescent="0.25">
      <c r="A29" s="1026"/>
      <c r="B29" s="1026"/>
      <c r="C29" s="430" t="s">
        <v>1010</v>
      </c>
      <c r="D29" s="402">
        <v>4411601.24</v>
      </c>
      <c r="E29" s="403">
        <v>732000</v>
      </c>
      <c r="F29" s="404">
        <f>D29-E29</f>
        <v>3679601.24</v>
      </c>
      <c r="G29" s="403">
        <v>400000</v>
      </c>
      <c r="H29" s="402">
        <f>D29-G29</f>
        <v>4011601.24</v>
      </c>
      <c r="I29" s="401" t="s">
        <v>1009</v>
      </c>
      <c r="J29" s="466">
        <v>3611601.24</v>
      </c>
      <c r="K29" s="496">
        <v>400000</v>
      </c>
      <c r="L29" s="497"/>
      <c r="M29" s="402">
        <f>J29-K29</f>
        <v>3211601.24</v>
      </c>
      <c r="N29" s="434"/>
      <c r="O29" s="438">
        <f>O5+O8+O11+O14+O20+O23+O26</f>
        <v>388898</v>
      </c>
      <c r="P29" s="507"/>
      <c r="Q29" s="610"/>
      <c r="R29" s="438">
        <f t="shared" ref="R29:BA29" si="3">R5+R8+R11+R14+R20+R23+R26</f>
        <v>341040</v>
      </c>
      <c r="S29" s="442"/>
      <c r="T29" s="438">
        <f t="shared" si="3"/>
        <v>295200</v>
      </c>
      <c r="U29" s="442"/>
      <c r="V29" s="438">
        <f t="shared" si="3"/>
        <v>248600</v>
      </c>
      <c r="W29" s="442"/>
      <c r="X29" s="482">
        <f t="shared" si="3"/>
        <v>201000</v>
      </c>
      <c r="Y29" s="442">
        <f t="shared" si="3"/>
        <v>0</v>
      </c>
      <c r="Z29" s="482">
        <f t="shared" si="3"/>
        <v>153420</v>
      </c>
      <c r="AA29" s="442">
        <f t="shared" si="3"/>
        <v>0</v>
      </c>
      <c r="AB29" s="482">
        <f t="shared" si="3"/>
        <v>115740</v>
      </c>
      <c r="AC29" s="444">
        <f t="shared" si="3"/>
        <v>0</v>
      </c>
      <c r="AD29" s="438">
        <f t="shared" si="3"/>
        <v>81660</v>
      </c>
      <c r="AE29" s="655">
        <f t="shared" si="3"/>
        <v>0</v>
      </c>
      <c r="AF29" s="482">
        <f t="shared" si="3"/>
        <v>59100</v>
      </c>
      <c r="AG29" s="442">
        <f t="shared" si="3"/>
        <v>0</v>
      </c>
      <c r="AH29" s="438">
        <f t="shared" si="3"/>
        <v>36000</v>
      </c>
      <c r="AI29" s="655">
        <f t="shared" si="3"/>
        <v>0</v>
      </c>
      <c r="AJ29" s="482">
        <f t="shared" si="3"/>
        <v>20520</v>
      </c>
      <c r="AK29" s="444">
        <f t="shared" si="3"/>
        <v>0</v>
      </c>
      <c r="AL29" s="438">
        <f t="shared" si="3"/>
        <v>18240</v>
      </c>
      <c r="AM29" s="656">
        <f t="shared" si="3"/>
        <v>0</v>
      </c>
      <c r="AN29" s="657">
        <f t="shared" si="3"/>
        <v>15960</v>
      </c>
      <c r="AO29" s="444">
        <f t="shared" si="3"/>
        <v>0</v>
      </c>
      <c r="AP29" s="438">
        <f t="shared" si="3"/>
        <v>13680</v>
      </c>
      <c r="AQ29" s="444">
        <f t="shared" si="3"/>
        <v>0</v>
      </c>
      <c r="AR29" s="438">
        <f t="shared" si="3"/>
        <v>11400</v>
      </c>
      <c r="AS29" s="444">
        <f t="shared" si="3"/>
        <v>0</v>
      </c>
      <c r="AT29" s="438">
        <f t="shared" si="3"/>
        <v>9120</v>
      </c>
      <c r="AU29" s="655">
        <f t="shared" si="3"/>
        <v>0</v>
      </c>
      <c r="AV29" s="482">
        <f t="shared" si="3"/>
        <v>6840</v>
      </c>
      <c r="AW29" s="444">
        <f t="shared" si="3"/>
        <v>0</v>
      </c>
      <c r="AX29" s="438">
        <f t="shared" si="3"/>
        <v>4560</v>
      </c>
      <c r="AY29" s="656">
        <f t="shared" si="3"/>
        <v>0</v>
      </c>
      <c r="AZ29" s="657">
        <f t="shared" si="3"/>
        <v>2280</v>
      </c>
      <c r="BA29" s="442">
        <f t="shared" si="3"/>
        <v>0</v>
      </c>
    </row>
    <row r="30" spans="1:53" s="56" customFormat="1" ht="13.5" thickBot="1" x14ac:dyDescent="0.25">
      <c r="A30" s="1026"/>
      <c r="B30" s="1026"/>
      <c r="C30" s="658" t="s">
        <v>1011</v>
      </c>
      <c r="D30" s="659">
        <v>0.03</v>
      </c>
      <c r="E30" s="660">
        <v>380000</v>
      </c>
      <c r="F30" s="661"/>
      <c r="G30" s="660">
        <v>132000</v>
      </c>
      <c r="H30" s="662"/>
      <c r="I30" s="658" t="s">
        <v>1010</v>
      </c>
      <c r="J30" s="663">
        <v>0.03</v>
      </c>
      <c r="K30" s="664">
        <f>108000+12000</f>
        <v>120000</v>
      </c>
      <c r="L30" s="665"/>
      <c r="M30" s="666"/>
      <c r="N30" s="659"/>
      <c r="O30" s="667">
        <f>SUM(O28:O29)</f>
        <v>3010049.8899999997</v>
      </c>
      <c r="P30" s="668"/>
      <c r="Q30" s="662">
        <f t="shared" ref="Q30:BA30" si="4">SUM(Q28:Q29)</f>
        <v>19177271.350000001</v>
      </c>
      <c r="R30" s="667">
        <f t="shared" si="4"/>
        <v>2257840</v>
      </c>
      <c r="S30" s="669">
        <f t="shared" si="4"/>
        <v>17260471.350000001</v>
      </c>
      <c r="T30" s="667">
        <f t="shared" si="4"/>
        <v>2364100</v>
      </c>
      <c r="U30" s="669">
        <f t="shared" si="4"/>
        <v>15191571.350000001</v>
      </c>
      <c r="V30" s="667">
        <f t="shared" si="4"/>
        <v>2465400</v>
      </c>
      <c r="W30" s="669">
        <f t="shared" si="4"/>
        <v>12974771.350000001</v>
      </c>
      <c r="X30" s="670">
        <f t="shared" si="4"/>
        <v>2418000</v>
      </c>
      <c r="Y30" s="669">
        <f t="shared" si="4"/>
        <v>10757771.350000001</v>
      </c>
      <c r="Z30" s="671">
        <f t="shared" si="4"/>
        <v>1950420</v>
      </c>
      <c r="AA30" s="667">
        <f t="shared" si="4"/>
        <v>8960771.3500000015</v>
      </c>
      <c r="AB30" s="672">
        <f t="shared" si="4"/>
        <v>1799341.24</v>
      </c>
      <c r="AC30" s="673">
        <f t="shared" si="4"/>
        <v>7277170.1100000003</v>
      </c>
      <c r="AD30" s="667">
        <f t="shared" si="4"/>
        <v>1353660</v>
      </c>
      <c r="AE30" s="669">
        <f t="shared" si="4"/>
        <v>6005170.1100000003</v>
      </c>
      <c r="AF30" s="670">
        <f t="shared" si="4"/>
        <v>1330244</v>
      </c>
      <c r="AG30" s="669">
        <f t="shared" si="4"/>
        <v>4734026.1100000003</v>
      </c>
      <c r="AH30" s="667">
        <f t="shared" si="4"/>
        <v>1170026.1099999999</v>
      </c>
      <c r="AI30" s="674">
        <f t="shared" si="4"/>
        <v>3600000</v>
      </c>
      <c r="AJ30" s="672">
        <f t="shared" si="4"/>
        <v>420520</v>
      </c>
      <c r="AK30" s="673">
        <f t="shared" si="4"/>
        <v>3200000</v>
      </c>
      <c r="AL30" s="667">
        <f t="shared" si="4"/>
        <v>418240</v>
      </c>
      <c r="AM30" s="675">
        <f t="shared" si="4"/>
        <v>2800000</v>
      </c>
      <c r="AN30" s="672">
        <f t="shared" si="4"/>
        <v>415960</v>
      </c>
      <c r="AO30" s="673">
        <f t="shared" si="4"/>
        <v>2400000</v>
      </c>
      <c r="AP30" s="667">
        <f t="shared" si="4"/>
        <v>413680</v>
      </c>
      <c r="AQ30" s="673">
        <f t="shared" si="4"/>
        <v>2000000</v>
      </c>
      <c r="AR30" s="667">
        <f t="shared" si="4"/>
        <v>411400</v>
      </c>
      <c r="AS30" s="673">
        <f t="shared" si="4"/>
        <v>1600000</v>
      </c>
      <c r="AT30" s="667">
        <f t="shared" si="4"/>
        <v>409120</v>
      </c>
      <c r="AU30" s="676">
        <f t="shared" si="4"/>
        <v>1200000</v>
      </c>
      <c r="AV30" s="670">
        <f t="shared" si="4"/>
        <v>406840</v>
      </c>
      <c r="AW30" s="673">
        <f t="shared" si="4"/>
        <v>800000</v>
      </c>
      <c r="AX30" s="667">
        <f t="shared" si="4"/>
        <v>404560</v>
      </c>
      <c r="AY30" s="675">
        <f t="shared" si="4"/>
        <v>400000</v>
      </c>
      <c r="AZ30" s="672">
        <f t="shared" si="4"/>
        <v>402280</v>
      </c>
      <c r="BA30" s="669">
        <f t="shared" si="4"/>
        <v>0</v>
      </c>
    </row>
    <row r="31" spans="1:53" ht="25.5" x14ac:dyDescent="0.2">
      <c r="A31" s="677"/>
      <c r="B31" s="678" t="s">
        <v>1020</v>
      </c>
      <c r="C31" s="679" t="s">
        <v>1009</v>
      </c>
      <c r="D31" s="511"/>
      <c r="E31" s="452">
        <f>SUM(E29:E30)</f>
        <v>1112000</v>
      </c>
      <c r="F31" s="451">
        <f>F29</f>
        <v>3679601.24</v>
      </c>
      <c r="G31" s="452">
        <f>G29+G30</f>
        <v>532000</v>
      </c>
      <c r="H31" s="511"/>
      <c r="I31" s="510" t="s">
        <v>1011</v>
      </c>
      <c r="J31" s="512"/>
      <c r="K31" s="489">
        <f>K29+K30</f>
        <v>520000</v>
      </c>
      <c r="L31" s="513"/>
      <c r="M31" s="512">
        <f>M29</f>
        <v>3211601.24</v>
      </c>
      <c r="N31" s="680"/>
      <c r="O31" s="681"/>
      <c r="P31" s="950">
        <v>2600000</v>
      </c>
      <c r="Q31" s="680">
        <f>P31</f>
        <v>2600000</v>
      </c>
      <c r="R31" s="681">
        <v>0</v>
      </c>
      <c r="S31" s="683">
        <f>Q31-R31</f>
        <v>2600000</v>
      </c>
      <c r="T31" s="681">
        <v>0</v>
      </c>
      <c r="U31" s="683">
        <f>S31-T31</f>
        <v>2600000</v>
      </c>
      <c r="V31" s="681">
        <v>0</v>
      </c>
      <c r="W31" s="683">
        <f>U31-V31</f>
        <v>2600000</v>
      </c>
      <c r="X31" s="684">
        <v>0</v>
      </c>
      <c r="Y31" s="683">
        <f>W31-X31</f>
        <v>2600000</v>
      </c>
      <c r="Z31" s="685">
        <v>0</v>
      </c>
      <c r="AA31" s="681">
        <f>Y31-Z31</f>
        <v>2600000</v>
      </c>
      <c r="AB31" s="686">
        <v>0</v>
      </c>
      <c r="AC31" s="687">
        <f>AA31-AB31</f>
        <v>2600000</v>
      </c>
      <c r="AD31" s="688">
        <v>0</v>
      </c>
      <c r="AE31" s="689">
        <f>AC31-AD31</f>
        <v>2600000</v>
      </c>
      <c r="AF31" s="690">
        <v>0</v>
      </c>
      <c r="AG31" s="689">
        <f>AE31-AF31</f>
        <v>2600000</v>
      </c>
      <c r="AH31" s="688">
        <v>0</v>
      </c>
      <c r="AI31" s="691">
        <f>AG31-AH31</f>
        <v>2600000</v>
      </c>
      <c r="AJ31" s="692">
        <v>520000</v>
      </c>
      <c r="AK31" s="693">
        <f>AI31-AJ31</f>
        <v>2080000</v>
      </c>
      <c r="AL31" s="688">
        <v>520000</v>
      </c>
      <c r="AM31" s="694">
        <f>AK31-AL31</f>
        <v>1560000</v>
      </c>
      <c r="AN31" s="692">
        <v>520000</v>
      </c>
      <c r="AO31" s="693">
        <f>AM31-AN31</f>
        <v>1040000</v>
      </c>
      <c r="AP31" s="688">
        <v>520000</v>
      </c>
      <c r="AQ31" s="693">
        <f>AO31-AP31</f>
        <v>520000</v>
      </c>
      <c r="AR31" s="688">
        <v>520000</v>
      </c>
      <c r="AS31" s="693">
        <f>AQ31-AR31</f>
        <v>0</v>
      </c>
      <c r="AT31" s="688"/>
      <c r="AU31" s="693"/>
      <c r="AV31" s="692"/>
      <c r="AW31" s="693"/>
      <c r="AX31" s="688"/>
      <c r="AY31" s="694"/>
      <c r="AZ31" s="695"/>
      <c r="BA31" s="696"/>
    </row>
    <row r="32" spans="1:53" ht="12.75" hidden="1" customHeight="1" x14ac:dyDescent="0.2">
      <c r="A32" s="518"/>
      <c r="B32" s="519"/>
      <c r="C32" s="520"/>
      <c r="D32" s="521"/>
      <c r="E32" s="522"/>
      <c r="F32" s="523"/>
      <c r="G32" s="522"/>
      <c r="H32" s="521"/>
      <c r="I32" s="520"/>
      <c r="J32" s="524"/>
      <c r="K32" s="525"/>
      <c r="L32" s="526"/>
      <c r="M32" s="527"/>
      <c r="N32" s="528"/>
      <c r="O32" s="529"/>
      <c r="P32" s="530"/>
      <c r="Q32" s="527"/>
      <c r="R32" s="529"/>
      <c r="S32" s="533"/>
      <c r="T32" s="529"/>
      <c r="U32" s="533"/>
      <c r="V32" s="529"/>
      <c r="W32" s="533"/>
      <c r="X32" s="525"/>
      <c r="Y32" s="533"/>
      <c r="Z32" s="697"/>
      <c r="AA32" s="529"/>
      <c r="AB32" s="698"/>
      <c r="AC32" s="534"/>
      <c r="AD32" s="529"/>
      <c r="AE32" s="533"/>
      <c r="AF32" s="535"/>
      <c r="AG32" s="536"/>
      <c r="AH32" s="537"/>
      <c r="AI32" s="699"/>
      <c r="AJ32" s="547"/>
      <c r="AK32" s="538"/>
      <c r="AL32" s="537"/>
      <c r="AM32" s="700"/>
      <c r="AN32" s="547"/>
      <c r="AO32" s="538"/>
      <c r="AP32" s="537"/>
      <c r="AQ32" s="538"/>
      <c r="AR32" s="537"/>
      <c r="AS32" s="538"/>
      <c r="AT32" s="537"/>
      <c r="AU32" s="538"/>
      <c r="AV32" s="547"/>
      <c r="AW32" s="538"/>
      <c r="AX32" s="537"/>
      <c r="AY32" s="700"/>
      <c r="AZ32" s="548"/>
      <c r="BA32" s="543"/>
    </row>
    <row r="33" spans="1:53" ht="12.75" hidden="1" customHeight="1" x14ac:dyDescent="0.2">
      <c r="A33" s="518"/>
      <c r="B33" s="519"/>
      <c r="C33" s="520"/>
      <c r="D33" s="521"/>
      <c r="E33" s="522"/>
      <c r="F33" s="523"/>
      <c r="G33" s="522"/>
      <c r="H33" s="521"/>
      <c r="I33" s="520"/>
      <c r="J33" s="544"/>
      <c r="K33" s="525"/>
      <c r="L33" s="545"/>
      <c r="M33" s="527"/>
      <c r="N33" s="546"/>
      <c r="O33" s="529"/>
      <c r="P33" s="530"/>
      <c r="Q33" s="527"/>
      <c r="R33" s="529"/>
      <c r="S33" s="533"/>
      <c r="T33" s="529"/>
      <c r="U33" s="533"/>
      <c r="V33" s="529"/>
      <c r="W33" s="533"/>
      <c r="X33" s="525"/>
      <c r="Y33" s="533"/>
      <c r="Z33" s="697"/>
      <c r="AA33" s="529"/>
      <c r="AB33" s="698"/>
      <c r="AC33" s="534"/>
      <c r="AD33" s="529"/>
      <c r="AE33" s="533"/>
      <c r="AF33" s="535"/>
      <c r="AG33" s="536"/>
      <c r="AH33" s="537"/>
      <c r="AI33" s="699"/>
      <c r="AJ33" s="547"/>
      <c r="AK33" s="538"/>
      <c r="AL33" s="537"/>
      <c r="AM33" s="700"/>
      <c r="AN33" s="547"/>
      <c r="AO33" s="538"/>
      <c r="AP33" s="537"/>
      <c r="AQ33" s="538"/>
      <c r="AR33" s="537"/>
      <c r="AS33" s="538"/>
      <c r="AT33" s="537"/>
      <c r="AU33" s="538"/>
      <c r="AV33" s="547"/>
      <c r="AW33" s="538"/>
      <c r="AX33" s="537"/>
      <c r="AY33" s="700"/>
      <c r="AZ33" s="548"/>
      <c r="BA33" s="543"/>
    </row>
    <row r="34" spans="1:53" ht="12.75" hidden="1" customHeight="1" x14ac:dyDescent="0.2">
      <c r="A34" s="549"/>
      <c r="B34" s="550"/>
      <c r="C34" s="551"/>
      <c r="D34" s="552"/>
      <c r="E34" s="553"/>
      <c r="F34" s="554"/>
      <c r="G34" s="553"/>
      <c r="H34" s="552"/>
      <c r="I34" s="551"/>
      <c r="J34" s="555"/>
      <c r="K34" s="556"/>
      <c r="L34" s="557"/>
      <c r="M34" s="558"/>
      <c r="N34" s="559"/>
      <c r="O34" s="560"/>
      <c r="P34" s="561"/>
      <c r="Q34" s="558"/>
      <c r="R34" s="560"/>
      <c r="S34" s="564"/>
      <c r="T34" s="560"/>
      <c r="U34" s="564"/>
      <c r="V34" s="560"/>
      <c r="W34" s="564"/>
      <c r="X34" s="556"/>
      <c r="Y34" s="564"/>
      <c r="Z34" s="701"/>
      <c r="AA34" s="560"/>
      <c r="AB34" s="702"/>
      <c r="AC34" s="567"/>
      <c r="AD34" s="560"/>
      <c r="AE34" s="564"/>
      <c r="AF34" s="556"/>
      <c r="AG34" s="564"/>
      <c r="AH34" s="560"/>
      <c r="AI34" s="565"/>
      <c r="AJ34" s="702"/>
      <c r="AK34" s="565"/>
      <c r="AL34" s="560"/>
      <c r="AM34" s="703"/>
      <c r="AN34" s="702"/>
      <c r="AO34" s="565"/>
      <c r="AP34" s="560"/>
      <c r="AQ34" s="565"/>
      <c r="AR34" s="560"/>
      <c r="AS34" s="565"/>
      <c r="AT34" s="560"/>
      <c r="AU34" s="565"/>
      <c r="AV34" s="702"/>
      <c r="AW34" s="565"/>
      <c r="AX34" s="560"/>
      <c r="AY34" s="703"/>
      <c r="AZ34" s="542"/>
      <c r="BA34" s="543"/>
    </row>
    <row r="35" spans="1:53" ht="13.5" customHeight="1" x14ac:dyDescent="0.2">
      <c r="A35" s="607"/>
      <c r="B35" s="608"/>
      <c r="C35" s="430" t="s">
        <v>1010</v>
      </c>
      <c r="D35" s="434"/>
      <c r="E35" s="432"/>
      <c r="F35" s="433">
        <v>159188</v>
      </c>
      <c r="G35" s="432"/>
      <c r="H35" s="434"/>
      <c r="I35" s="430" t="s">
        <v>1009</v>
      </c>
      <c r="J35" s="449"/>
      <c r="K35" s="482"/>
      <c r="L35" s="506" t="e">
        <f>3060000-#REF!</f>
        <v>#REF!</v>
      </c>
      <c r="M35" s="610" t="e">
        <f>L35</f>
        <v>#REF!</v>
      </c>
      <c r="N35" s="431">
        <f>1.64%+1.76%</f>
        <v>3.4000000000000002E-2</v>
      </c>
      <c r="O35" s="438">
        <v>0</v>
      </c>
      <c r="P35" s="704"/>
      <c r="Q35" s="610"/>
      <c r="R35" s="438">
        <v>88400</v>
      </c>
      <c r="S35" s="442"/>
      <c r="T35" s="438">
        <v>88400</v>
      </c>
      <c r="U35" s="442"/>
      <c r="V35" s="438">
        <v>88400</v>
      </c>
      <c r="W35" s="442"/>
      <c r="X35" s="482">
        <v>88400</v>
      </c>
      <c r="Y35" s="442"/>
      <c r="Z35" s="441">
        <v>88400</v>
      </c>
      <c r="AA35" s="438"/>
      <c r="AB35" s="657">
        <v>88400</v>
      </c>
      <c r="AC35" s="444"/>
      <c r="AD35" s="438">
        <v>88400</v>
      </c>
      <c r="AE35" s="442"/>
      <c r="AF35" s="611">
        <v>88400</v>
      </c>
      <c r="AG35" s="621"/>
      <c r="AH35" s="613">
        <v>88400</v>
      </c>
      <c r="AI35" s="705"/>
      <c r="AJ35" s="622">
        <v>88400</v>
      </c>
      <c r="AK35" s="615"/>
      <c r="AL35" s="613">
        <v>70720</v>
      </c>
      <c r="AM35" s="616"/>
      <c r="AN35" s="622">
        <v>53040</v>
      </c>
      <c r="AO35" s="615"/>
      <c r="AP35" s="613">
        <v>35360</v>
      </c>
      <c r="AQ35" s="615"/>
      <c r="AR35" s="613">
        <v>17680</v>
      </c>
      <c r="AS35" s="615"/>
      <c r="AT35" s="613"/>
      <c r="AU35" s="615"/>
      <c r="AV35" s="622"/>
      <c r="AW35" s="615"/>
      <c r="AX35" s="613"/>
      <c r="AY35" s="616"/>
      <c r="AZ35" s="548"/>
      <c r="BA35" s="543"/>
    </row>
    <row r="36" spans="1:53" ht="13.5" thickBot="1" x14ac:dyDescent="0.25">
      <c r="A36" s="706"/>
      <c r="B36" s="707"/>
      <c r="C36" s="708" t="s">
        <v>1011</v>
      </c>
      <c r="D36" s="709">
        <v>0.03</v>
      </c>
      <c r="E36" s="710">
        <v>3500</v>
      </c>
      <c r="F36" s="711"/>
      <c r="G36" s="710"/>
      <c r="H36" s="712"/>
      <c r="I36" s="708" t="s">
        <v>1010</v>
      </c>
      <c r="J36" s="713">
        <v>2.7E-2</v>
      </c>
      <c r="K36" s="714">
        <v>6000</v>
      </c>
      <c r="L36" s="715"/>
      <c r="M36" s="716"/>
      <c r="N36" s="717"/>
      <c r="O36" s="718"/>
      <c r="P36" s="633">
        <f>P31</f>
        <v>2600000</v>
      </c>
      <c r="Q36" s="719">
        <f>Q31</f>
        <v>2600000</v>
      </c>
      <c r="R36" s="720">
        <f>R31+R35</f>
        <v>88400</v>
      </c>
      <c r="S36" s="721">
        <f>SUM(S31:S35)</f>
        <v>2600000</v>
      </c>
      <c r="T36" s="632">
        <f t="shared" ref="T36:BA36" si="5">SUM(T31:T35)</f>
        <v>88400</v>
      </c>
      <c r="U36" s="635">
        <f t="shared" si="5"/>
        <v>2600000</v>
      </c>
      <c r="V36" s="632">
        <f t="shared" si="5"/>
        <v>88400</v>
      </c>
      <c r="W36" s="635">
        <f t="shared" si="5"/>
        <v>2600000</v>
      </c>
      <c r="X36" s="636">
        <f t="shared" si="5"/>
        <v>88400</v>
      </c>
      <c r="Y36" s="635">
        <f t="shared" si="5"/>
        <v>2600000</v>
      </c>
      <c r="Z36" s="722">
        <f t="shared" si="5"/>
        <v>88400</v>
      </c>
      <c r="AA36" s="632">
        <f t="shared" si="5"/>
        <v>2600000</v>
      </c>
      <c r="AB36" s="639">
        <f t="shared" si="5"/>
        <v>88400</v>
      </c>
      <c r="AC36" s="637">
        <f t="shared" si="5"/>
        <v>2600000</v>
      </c>
      <c r="AD36" s="632">
        <f t="shared" si="5"/>
        <v>88400</v>
      </c>
      <c r="AE36" s="635">
        <f t="shared" si="5"/>
        <v>2600000</v>
      </c>
      <c r="AF36" s="636">
        <f t="shared" si="5"/>
        <v>88400</v>
      </c>
      <c r="AG36" s="635">
        <f t="shared" si="5"/>
        <v>2600000</v>
      </c>
      <c r="AH36" s="632">
        <f t="shared" si="5"/>
        <v>88400</v>
      </c>
      <c r="AI36" s="723">
        <f t="shared" si="5"/>
        <v>2600000</v>
      </c>
      <c r="AJ36" s="639">
        <f t="shared" si="5"/>
        <v>608400</v>
      </c>
      <c r="AK36" s="637">
        <f t="shared" si="5"/>
        <v>2080000</v>
      </c>
      <c r="AL36" s="632">
        <f t="shared" si="5"/>
        <v>590720</v>
      </c>
      <c r="AM36" s="638">
        <f t="shared" si="5"/>
        <v>1560000</v>
      </c>
      <c r="AN36" s="639">
        <f t="shared" si="5"/>
        <v>573040</v>
      </c>
      <c r="AO36" s="637">
        <f t="shared" si="5"/>
        <v>1040000</v>
      </c>
      <c r="AP36" s="632">
        <f t="shared" si="5"/>
        <v>555360</v>
      </c>
      <c r="AQ36" s="637">
        <f t="shared" si="5"/>
        <v>520000</v>
      </c>
      <c r="AR36" s="632">
        <f t="shared" si="5"/>
        <v>537680</v>
      </c>
      <c r="AS36" s="637">
        <f t="shared" si="5"/>
        <v>0</v>
      </c>
      <c r="AT36" s="632">
        <f t="shared" si="5"/>
        <v>0</v>
      </c>
      <c r="AU36" s="635"/>
      <c r="AV36" s="638"/>
      <c r="AW36" s="637">
        <f t="shared" si="5"/>
        <v>0</v>
      </c>
      <c r="AX36" s="632">
        <f t="shared" si="5"/>
        <v>0</v>
      </c>
      <c r="AY36" s="638">
        <f t="shared" si="5"/>
        <v>0</v>
      </c>
      <c r="AZ36" s="639">
        <f t="shared" si="5"/>
        <v>0</v>
      </c>
      <c r="BA36" s="635">
        <f t="shared" si="5"/>
        <v>0</v>
      </c>
    </row>
    <row r="37" spans="1:53" x14ac:dyDescent="0.2">
      <c r="A37" s="1027" t="s">
        <v>1021</v>
      </c>
      <c r="B37" s="1028"/>
      <c r="C37" s="724" t="s">
        <v>1009</v>
      </c>
      <c r="D37" s="591"/>
      <c r="E37" s="592">
        <f>SUM(E35:E36)</f>
        <v>3500</v>
      </c>
      <c r="F37" s="593">
        <f>SUM(F35)</f>
        <v>159188</v>
      </c>
      <c r="G37" s="592">
        <f>SUM(G35:G36)</f>
        <v>0</v>
      </c>
      <c r="H37" s="591">
        <f>H35</f>
        <v>0</v>
      </c>
      <c r="I37" s="590" t="s">
        <v>1011</v>
      </c>
      <c r="J37" s="594"/>
      <c r="K37" s="595">
        <f>SUM(K35:K36)</f>
        <v>6000</v>
      </c>
      <c r="L37" s="596"/>
      <c r="M37" s="598" t="e">
        <f>M35</f>
        <v>#REF!</v>
      </c>
      <c r="N37" s="641"/>
      <c r="O37" s="725">
        <f>SUM(O35:O36)</f>
        <v>0</v>
      </c>
      <c r="P37" s="726">
        <f>P31</f>
        <v>2600000</v>
      </c>
      <c r="Q37" s="727">
        <f>Q36</f>
        <v>2600000</v>
      </c>
      <c r="R37" s="725">
        <v>0</v>
      </c>
      <c r="S37" s="728">
        <f>S31</f>
        <v>2600000</v>
      </c>
      <c r="T37" s="725">
        <f>T31</f>
        <v>0</v>
      </c>
      <c r="U37" s="729">
        <f t="shared" ref="U37:BA37" si="6">U31</f>
        <v>2600000</v>
      </c>
      <c r="V37" s="725">
        <f t="shared" si="6"/>
        <v>0</v>
      </c>
      <c r="W37" s="729">
        <f t="shared" si="6"/>
        <v>2600000</v>
      </c>
      <c r="X37" s="645">
        <f t="shared" si="6"/>
        <v>0</v>
      </c>
      <c r="Y37" s="729">
        <f t="shared" si="6"/>
        <v>2600000</v>
      </c>
      <c r="Z37" s="730">
        <f t="shared" si="6"/>
        <v>0</v>
      </c>
      <c r="AA37" s="725">
        <f t="shared" si="6"/>
        <v>2600000</v>
      </c>
      <c r="AB37" s="731"/>
      <c r="AC37" s="732">
        <f t="shared" ref="AC37" si="7">SUM(AC35:AC36)</f>
        <v>2600000</v>
      </c>
      <c r="AD37" s="725">
        <f t="shared" ref="AD37" si="8">AD31</f>
        <v>0</v>
      </c>
      <c r="AE37" s="729">
        <f t="shared" ref="AE37" si="9">AE36</f>
        <v>2600000</v>
      </c>
      <c r="AF37" s="645">
        <v>1</v>
      </c>
      <c r="AG37" s="729">
        <f t="shared" ref="AG37:AH37" si="10">AG31</f>
        <v>2600000</v>
      </c>
      <c r="AH37" s="725">
        <f t="shared" si="10"/>
        <v>0</v>
      </c>
      <c r="AI37" s="733">
        <f t="shared" si="6"/>
        <v>2600000</v>
      </c>
      <c r="AJ37" s="734">
        <f t="shared" si="6"/>
        <v>520000</v>
      </c>
      <c r="AK37" s="733">
        <f t="shared" si="6"/>
        <v>2080000</v>
      </c>
      <c r="AL37" s="725">
        <f t="shared" si="6"/>
        <v>520000</v>
      </c>
      <c r="AM37" s="735">
        <f t="shared" si="6"/>
        <v>1560000</v>
      </c>
      <c r="AN37" s="734">
        <f t="shared" si="6"/>
        <v>520000</v>
      </c>
      <c r="AO37" s="733">
        <f t="shared" si="6"/>
        <v>1040000</v>
      </c>
      <c r="AP37" s="644"/>
      <c r="AQ37" s="733">
        <f t="shared" ref="AQ37" si="11">SUM(AQ35:AQ36)</f>
        <v>520000</v>
      </c>
      <c r="AR37" s="725">
        <f t="shared" ref="AR37" si="12">AR31</f>
        <v>520000</v>
      </c>
      <c r="AS37" s="733">
        <f t="shared" ref="AS37" si="13">AS36</f>
        <v>0</v>
      </c>
      <c r="AT37" s="725"/>
      <c r="AU37" s="729"/>
      <c r="AV37" s="725"/>
      <c r="AW37" s="732">
        <f t="shared" si="6"/>
        <v>0</v>
      </c>
      <c r="AX37" s="725">
        <f t="shared" si="6"/>
        <v>0</v>
      </c>
      <c r="AY37" s="735">
        <f t="shared" si="6"/>
        <v>0</v>
      </c>
      <c r="AZ37" s="734">
        <f t="shared" si="6"/>
        <v>0</v>
      </c>
      <c r="BA37" s="729">
        <f t="shared" si="6"/>
        <v>0</v>
      </c>
    </row>
    <row r="38" spans="1:53" x14ac:dyDescent="0.2">
      <c r="A38" s="1029"/>
      <c r="B38" s="1030"/>
      <c r="C38" s="430" t="s">
        <v>1010</v>
      </c>
      <c r="D38" s="431"/>
      <c r="E38" s="432" t="e">
        <f>E32+#REF!+#REF!+#REF!</f>
        <v>#REF!</v>
      </c>
      <c r="F38" s="433"/>
      <c r="G38" s="736">
        <f>G32</f>
        <v>0</v>
      </c>
      <c r="H38" s="737"/>
      <c r="I38" s="430" t="s">
        <v>1010</v>
      </c>
      <c r="J38" s="738"/>
      <c r="K38" s="739" t="e">
        <f>K32+#REF!+K35</f>
        <v>#REF!</v>
      </c>
      <c r="L38" s="704" t="e">
        <f>L32+#REF!+L35</f>
        <v>#REF!</v>
      </c>
      <c r="M38" s="740" t="e">
        <f>M32+#REF!+M35</f>
        <v>#REF!</v>
      </c>
      <c r="N38" s="737"/>
      <c r="O38" s="741">
        <f>O32+O35</f>
        <v>0</v>
      </c>
      <c r="P38" s="704"/>
      <c r="Q38" s="740"/>
      <c r="R38" s="741">
        <f>R32+R35</f>
        <v>88400</v>
      </c>
      <c r="S38" s="742"/>
      <c r="T38" s="438">
        <f>T35</f>
        <v>88400</v>
      </c>
      <c r="U38" s="743">
        <f>U32+U35</f>
        <v>0</v>
      </c>
      <c r="V38" s="741">
        <f>V32+V35</f>
        <v>88400</v>
      </c>
      <c r="W38" s="743"/>
      <c r="X38" s="739">
        <f>X32+X35</f>
        <v>88400</v>
      </c>
      <c r="Y38" s="743"/>
      <c r="Z38" s="744">
        <f>Z32+Z35</f>
        <v>88400</v>
      </c>
      <c r="AA38" s="741"/>
      <c r="AB38" s="745">
        <f>AB32+AB35</f>
        <v>88400</v>
      </c>
      <c r="AC38" s="746"/>
      <c r="AD38" s="741">
        <f>AD32+AD35</f>
        <v>88400</v>
      </c>
      <c r="AE38" s="743"/>
      <c r="AF38" s="739">
        <f>AF32+AF35</f>
        <v>88400</v>
      </c>
      <c r="AG38" s="743"/>
      <c r="AH38" s="741">
        <f>AH32+AH35</f>
        <v>88400</v>
      </c>
      <c r="AI38" s="747"/>
      <c r="AJ38" s="745">
        <f>AJ32+AJ35</f>
        <v>88400</v>
      </c>
      <c r="AK38" s="747"/>
      <c r="AL38" s="741">
        <f>AL35+AL32</f>
        <v>70720</v>
      </c>
      <c r="AM38" s="748"/>
      <c r="AN38" s="745">
        <f>AN32+AN35</f>
        <v>53040</v>
      </c>
      <c r="AO38" s="747"/>
      <c r="AP38" s="741">
        <f>AP32+AP35</f>
        <v>35360</v>
      </c>
      <c r="AQ38" s="747"/>
      <c r="AR38" s="741">
        <f>AR32+AR35</f>
        <v>17680</v>
      </c>
      <c r="AS38" s="747"/>
      <c r="AT38" s="741"/>
      <c r="AU38" s="747"/>
      <c r="AV38" s="741"/>
      <c r="AW38" s="747"/>
      <c r="AX38" s="741">
        <f>AX32+AX35</f>
        <v>0</v>
      </c>
      <c r="AY38" s="748"/>
      <c r="AZ38" s="749">
        <f>AZ35</f>
        <v>0</v>
      </c>
      <c r="BA38" s="750"/>
    </row>
    <row r="39" spans="1:53" ht="13.5" thickBot="1" x14ac:dyDescent="0.25">
      <c r="A39" s="1031"/>
      <c r="B39" s="1032"/>
      <c r="C39" s="751" t="s">
        <v>1011</v>
      </c>
      <c r="D39" s="662"/>
      <c r="E39" s="660" t="e">
        <f>SUM(E37:E38)</f>
        <v>#REF!</v>
      </c>
      <c r="F39" s="661">
        <f>F37</f>
        <v>159188</v>
      </c>
      <c r="G39" s="660">
        <f>SUM(G37:G38)</f>
        <v>0</v>
      </c>
      <c r="H39" s="662">
        <f>SUM(H37)</f>
        <v>0</v>
      </c>
      <c r="I39" s="751" t="s">
        <v>1011</v>
      </c>
      <c r="J39" s="667"/>
      <c r="K39" s="664" t="e">
        <f>K37+K38</f>
        <v>#REF!</v>
      </c>
      <c r="L39" s="752" t="e">
        <f t="shared" ref="L39:BA39" si="14">L37+L38</f>
        <v>#REF!</v>
      </c>
      <c r="M39" s="753" t="e">
        <f t="shared" si="14"/>
        <v>#REF!</v>
      </c>
      <c r="N39" s="662"/>
      <c r="O39" s="720">
        <f t="shared" si="14"/>
        <v>0</v>
      </c>
      <c r="P39" s="752"/>
      <c r="Q39" s="753">
        <f t="shared" si="14"/>
        <v>2600000</v>
      </c>
      <c r="R39" s="720">
        <f t="shared" si="14"/>
        <v>88400</v>
      </c>
      <c r="S39" s="754">
        <f t="shared" si="14"/>
        <v>2600000</v>
      </c>
      <c r="T39" s="720">
        <f t="shared" si="14"/>
        <v>88400</v>
      </c>
      <c r="U39" s="755">
        <f t="shared" si="14"/>
        <v>2600000</v>
      </c>
      <c r="V39" s="720">
        <f t="shared" si="14"/>
        <v>88400</v>
      </c>
      <c r="W39" s="755">
        <f t="shared" si="14"/>
        <v>2600000</v>
      </c>
      <c r="X39" s="664">
        <f t="shared" si="14"/>
        <v>88400</v>
      </c>
      <c r="Y39" s="755">
        <f t="shared" si="14"/>
        <v>2600000</v>
      </c>
      <c r="Z39" s="756">
        <f t="shared" si="14"/>
        <v>88400</v>
      </c>
      <c r="AA39" s="720">
        <f t="shared" si="14"/>
        <v>2600000</v>
      </c>
      <c r="AB39" s="757">
        <f t="shared" si="14"/>
        <v>88400</v>
      </c>
      <c r="AC39" s="758">
        <f t="shared" si="14"/>
        <v>2600000</v>
      </c>
      <c r="AD39" s="720">
        <f t="shared" si="14"/>
        <v>88400</v>
      </c>
      <c r="AE39" s="755">
        <f t="shared" si="14"/>
        <v>2600000</v>
      </c>
      <c r="AF39" s="664">
        <f t="shared" si="14"/>
        <v>88401</v>
      </c>
      <c r="AG39" s="755">
        <f t="shared" si="14"/>
        <v>2600000</v>
      </c>
      <c r="AH39" s="720">
        <f t="shared" si="14"/>
        <v>88400</v>
      </c>
      <c r="AI39" s="759">
        <f t="shared" si="14"/>
        <v>2600000</v>
      </c>
      <c r="AJ39" s="757">
        <f t="shared" si="14"/>
        <v>608400</v>
      </c>
      <c r="AK39" s="759">
        <f t="shared" si="14"/>
        <v>2080000</v>
      </c>
      <c r="AL39" s="720">
        <f t="shared" si="14"/>
        <v>590720</v>
      </c>
      <c r="AM39" s="760">
        <f t="shared" si="14"/>
        <v>1560000</v>
      </c>
      <c r="AN39" s="757">
        <f t="shared" si="14"/>
        <v>573040</v>
      </c>
      <c r="AO39" s="759">
        <f t="shared" si="14"/>
        <v>1040000</v>
      </c>
      <c r="AP39" s="720">
        <f t="shared" si="14"/>
        <v>35360</v>
      </c>
      <c r="AQ39" s="759">
        <f t="shared" si="14"/>
        <v>520000</v>
      </c>
      <c r="AR39" s="720">
        <f t="shared" si="14"/>
        <v>537680</v>
      </c>
      <c r="AS39" s="759">
        <f t="shared" si="14"/>
        <v>0</v>
      </c>
      <c r="AT39" s="720"/>
      <c r="AU39" s="761"/>
      <c r="AV39" s="664"/>
      <c r="AW39" s="759">
        <f t="shared" si="14"/>
        <v>0</v>
      </c>
      <c r="AX39" s="720">
        <f t="shared" si="14"/>
        <v>0</v>
      </c>
      <c r="AY39" s="760">
        <f t="shared" si="14"/>
        <v>0</v>
      </c>
      <c r="AZ39" s="757">
        <f t="shared" si="14"/>
        <v>0</v>
      </c>
      <c r="BA39" s="755">
        <f t="shared" si="14"/>
        <v>0</v>
      </c>
    </row>
    <row r="40" spans="1:53" ht="13.5" thickBot="1" x14ac:dyDescent="0.25">
      <c r="A40" s="762"/>
      <c r="B40" s="1033" t="s">
        <v>1022</v>
      </c>
      <c r="C40" s="679" t="s">
        <v>1009</v>
      </c>
      <c r="D40" s="680">
        <f>D28+D37</f>
        <v>13100001.24</v>
      </c>
      <c r="E40" s="763" t="e">
        <f>E28+E37</f>
        <v>#REF!</v>
      </c>
      <c r="F40" s="764" t="e">
        <f>F28+F37</f>
        <v>#REF!</v>
      </c>
      <c r="G40" s="763">
        <f>G37+G28</f>
        <v>1676800</v>
      </c>
      <c r="H40" s="680">
        <f>H28+H37</f>
        <v>11423201.24</v>
      </c>
      <c r="I40" s="679" t="s">
        <v>1009</v>
      </c>
      <c r="J40" s="681">
        <f>J28+J37</f>
        <v>9746401.2400000002</v>
      </c>
      <c r="K40" s="765">
        <f>K37+K28</f>
        <v>1682800</v>
      </c>
      <c r="L40" s="682">
        <f>L37+L28</f>
        <v>0</v>
      </c>
      <c r="M40" s="680" t="e">
        <f>M37+M28</f>
        <v>#REF!</v>
      </c>
      <c r="N40" s="641">
        <f>N28+N37</f>
        <v>21798423.239999998</v>
      </c>
      <c r="O40" s="644">
        <f>O28+O37</f>
        <v>2621151.8899999997</v>
      </c>
      <c r="P40" s="726">
        <f>P31</f>
        <v>2600000</v>
      </c>
      <c r="Q40" s="641">
        <f>Q37+Q28</f>
        <v>21777271.350000001</v>
      </c>
      <c r="R40" s="644">
        <f t="shared" ref="R40:V40" si="15">R37+R28</f>
        <v>1916800</v>
      </c>
      <c r="S40" s="643">
        <f t="shared" si="15"/>
        <v>19860471.350000001</v>
      </c>
      <c r="T40" s="644">
        <f t="shared" si="15"/>
        <v>2068900</v>
      </c>
      <c r="U40" s="766">
        <f t="shared" si="15"/>
        <v>17791571.350000001</v>
      </c>
      <c r="V40" s="644">
        <f t="shared" si="15"/>
        <v>2216800</v>
      </c>
      <c r="W40" s="766">
        <f>W28+W37</f>
        <v>15574771.350000001</v>
      </c>
      <c r="X40" s="767">
        <f>X37+X28</f>
        <v>2217000</v>
      </c>
      <c r="Y40" s="766">
        <f>Y28+Y37</f>
        <v>13357771.350000001</v>
      </c>
      <c r="Z40" s="768">
        <f>Z37+Z28</f>
        <v>1797000</v>
      </c>
      <c r="AA40" s="644">
        <f>AA37+AA28</f>
        <v>11560771.350000001</v>
      </c>
      <c r="AB40" s="731">
        <f>AB28+AB37</f>
        <v>1683601.24</v>
      </c>
      <c r="AC40" s="769">
        <f t="shared" ref="AC40:BA40" si="16">AC37+AC28</f>
        <v>9877170.1099999994</v>
      </c>
      <c r="AD40" s="770">
        <f t="shared" si="16"/>
        <v>1272000</v>
      </c>
      <c r="AE40" s="771">
        <f t="shared" si="16"/>
        <v>8605170.1099999994</v>
      </c>
      <c r="AF40" s="772">
        <f t="shared" si="16"/>
        <v>1271145</v>
      </c>
      <c r="AG40" s="771">
        <f t="shared" si="16"/>
        <v>7334026.1100000003</v>
      </c>
      <c r="AH40" s="770">
        <f t="shared" si="16"/>
        <v>1134026.1099999999</v>
      </c>
      <c r="AI40" s="773">
        <f t="shared" si="16"/>
        <v>6200000</v>
      </c>
      <c r="AJ40" s="774">
        <f t="shared" si="16"/>
        <v>920000</v>
      </c>
      <c r="AK40" s="775">
        <f t="shared" si="16"/>
        <v>5280000</v>
      </c>
      <c r="AL40" s="770">
        <f t="shared" si="16"/>
        <v>920000</v>
      </c>
      <c r="AM40" s="776">
        <f t="shared" si="16"/>
        <v>4360000</v>
      </c>
      <c r="AN40" s="774">
        <f t="shared" si="16"/>
        <v>920000</v>
      </c>
      <c r="AO40" s="775">
        <f t="shared" si="16"/>
        <v>3440000</v>
      </c>
      <c r="AP40" s="770">
        <f t="shared" si="16"/>
        <v>400000</v>
      </c>
      <c r="AQ40" s="775">
        <f t="shared" si="16"/>
        <v>2520000</v>
      </c>
      <c r="AR40" s="770">
        <f t="shared" si="16"/>
        <v>920000</v>
      </c>
      <c r="AS40" s="775">
        <f t="shared" si="16"/>
        <v>1600000</v>
      </c>
      <c r="AT40" s="770">
        <f t="shared" si="16"/>
        <v>400000</v>
      </c>
      <c r="AU40" s="775">
        <f t="shared" si="16"/>
        <v>1200000</v>
      </c>
      <c r="AV40" s="770">
        <f t="shared" si="16"/>
        <v>400000</v>
      </c>
      <c r="AW40" s="775">
        <f t="shared" si="16"/>
        <v>800000</v>
      </c>
      <c r="AX40" s="770">
        <f>AX28</f>
        <v>400000</v>
      </c>
      <c r="AY40" s="776">
        <f>AW40-AX40</f>
        <v>400000</v>
      </c>
      <c r="AZ40" s="777">
        <f>AZ37</f>
        <v>0</v>
      </c>
      <c r="BA40" s="778">
        <f t="shared" si="16"/>
        <v>0</v>
      </c>
    </row>
    <row r="41" spans="1:53" ht="13.5" thickBot="1" x14ac:dyDescent="0.25">
      <c r="A41" s="779"/>
      <c r="B41" s="1033"/>
      <c r="C41" s="430" t="s">
        <v>1010</v>
      </c>
      <c r="D41" s="434"/>
      <c r="E41" s="432" t="e">
        <f>E29+E38</f>
        <v>#REF!</v>
      </c>
      <c r="F41" s="433"/>
      <c r="G41" s="432">
        <f>G29+G38</f>
        <v>400000</v>
      </c>
      <c r="H41" s="434"/>
      <c r="I41" s="430" t="s">
        <v>1010</v>
      </c>
      <c r="J41" s="449"/>
      <c r="K41" s="482" t="e">
        <f>K29+K38</f>
        <v>#REF!</v>
      </c>
      <c r="L41" s="507" t="e">
        <f>L29+L38</f>
        <v>#REF!</v>
      </c>
      <c r="M41" s="610" t="e">
        <f>M29+M38</f>
        <v>#REF!</v>
      </c>
      <c r="N41" s="737"/>
      <c r="O41" s="738">
        <f>O29+O38</f>
        <v>388898</v>
      </c>
      <c r="P41" s="780"/>
      <c r="Q41" s="737">
        <f t="shared" ref="Q41:V41" si="17">Q29+Q38</f>
        <v>0</v>
      </c>
      <c r="R41" s="738">
        <f t="shared" si="17"/>
        <v>429440</v>
      </c>
      <c r="S41" s="781">
        <f t="shared" si="17"/>
        <v>0</v>
      </c>
      <c r="T41" s="738">
        <f t="shared" si="17"/>
        <v>383600</v>
      </c>
      <c r="U41" s="782">
        <f t="shared" si="17"/>
        <v>0</v>
      </c>
      <c r="V41" s="738">
        <f t="shared" si="17"/>
        <v>337000</v>
      </c>
      <c r="W41" s="782">
        <f>W29+W38</f>
        <v>0</v>
      </c>
      <c r="X41" s="783">
        <f>X29+X38</f>
        <v>289400</v>
      </c>
      <c r="Y41" s="782">
        <f>Y29+Y38</f>
        <v>0</v>
      </c>
      <c r="Z41" s="784">
        <f>Z29+Z38</f>
        <v>241820</v>
      </c>
      <c r="AA41" s="738">
        <f>AA29+AA38</f>
        <v>0</v>
      </c>
      <c r="AB41" s="785">
        <f>AB29+AB38</f>
        <v>204140</v>
      </c>
      <c r="AC41" s="786">
        <f t="shared" ref="AC41:AZ41" si="18">AC29+AC38</f>
        <v>0</v>
      </c>
      <c r="AD41" s="738">
        <f t="shared" si="18"/>
        <v>170060</v>
      </c>
      <c r="AE41" s="782">
        <f t="shared" si="18"/>
        <v>0</v>
      </c>
      <c r="AF41" s="783">
        <f t="shared" si="18"/>
        <v>147500</v>
      </c>
      <c r="AG41" s="782">
        <f t="shared" si="18"/>
        <v>0</v>
      </c>
      <c r="AH41" s="738">
        <f t="shared" si="18"/>
        <v>124400</v>
      </c>
      <c r="AI41" s="787">
        <f t="shared" si="18"/>
        <v>0</v>
      </c>
      <c r="AJ41" s="785">
        <f t="shared" si="18"/>
        <v>108920</v>
      </c>
      <c r="AK41" s="786">
        <f t="shared" si="18"/>
        <v>0</v>
      </c>
      <c r="AL41" s="738">
        <f t="shared" si="18"/>
        <v>88960</v>
      </c>
      <c r="AM41" s="788">
        <f t="shared" si="18"/>
        <v>0</v>
      </c>
      <c r="AN41" s="785">
        <f t="shared" si="18"/>
        <v>69000</v>
      </c>
      <c r="AO41" s="786">
        <f t="shared" si="18"/>
        <v>0</v>
      </c>
      <c r="AP41" s="738">
        <f t="shared" si="18"/>
        <v>49040</v>
      </c>
      <c r="AQ41" s="786">
        <f t="shared" si="18"/>
        <v>0</v>
      </c>
      <c r="AR41" s="738">
        <f t="shared" si="18"/>
        <v>29080</v>
      </c>
      <c r="AS41" s="786">
        <f t="shared" si="18"/>
        <v>0</v>
      </c>
      <c r="AT41" s="738">
        <f t="shared" si="18"/>
        <v>9120</v>
      </c>
      <c r="AU41" s="786">
        <f t="shared" si="18"/>
        <v>0</v>
      </c>
      <c r="AV41" s="738">
        <f t="shared" si="18"/>
        <v>6840</v>
      </c>
      <c r="AW41" s="786">
        <f t="shared" si="18"/>
        <v>0</v>
      </c>
      <c r="AX41" s="738">
        <f t="shared" si="18"/>
        <v>4560</v>
      </c>
      <c r="AY41" s="788">
        <f t="shared" si="18"/>
        <v>0</v>
      </c>
      <c r="AZ41" s="789">
        <f t="shared" si="18"/>
        <v>2280</v>
      </c>
      <c r="BA41" s="790"/>
    </row>
    <row r="42" spans="1:53" ht="13.5" thickBot="1" x14ac:dyDescent="0.25">
      <c r="A42" s="791"/>
      <c r="B42" s="1033"/>
      <c r="C42" s="751" t="s">
        <v>1011</v>
      </c>
      <c r="D42" s="719">
        <f>D40</f>
        <v>13100001.24</v>
      </c>
      <c r="E42" s="792" t="e">
        <f>SUM(E40:E41)</f>
        <v>#REF!</v>
      </c>
      <c r="F42" s="793" t="e">
        <f>F40</f>
        <v>#REF!</v>
      </c>
      <c r="G42" s="792">
        <f>SUM(G40:G41)</f>
        <v>2076800</v>
      </c>
      <c r="H42" s="719">
        <f>SUM(H40)</f>
        <v>11423201.24</v>
      </c>
      <c r="I42" s="751" t="s">
        <v>1011</v>
      </c>
      <c r="J42" s="794">
        <f>J40</f>
        <v>9746401.2400000002</v>
      </c>
      <c r="K42" s="636" t="e">
        <f>SUM(K40:K41)</f>
        <v>#REF!</v>
      </c>
      <c r="L42" s="633" t="e">
        <f t="shared" ref="L42:AY42" si="19">SUM(L40:L41)</f>
        <v>#REF!</v>
      </c>
      <c r="M42" s="634" t="e">
        <f t="shared" si="19"/>
        <v>#REF!</v>
      </c>
      <c r="N42" s="662">
        <f>N40</f>
        <v>21798423.239999998</v>
      </c>
      <c r="O42" s="667">
        <f t="shared" si="19"/>
        <v>3010049.8899999997</v>
      </c>
      <c r="P42" s="752">
        <f>P40</f>
        <v>2600000</v>
      </c>
      <c r="Q42" s="662">
        <f t="shared" si="19"/>
        <v>21777271.350000001</v>
      </c>
      <c r="R42" s="667">
        <f t="shared" si="19"/>
        <v>2346240</v>
      </c>
      <c r="S42" s="661">
        <f t="shared" si="19"/>
        <v>19860471.350000001</v>
      </c>
      <c r="T42" s="667">
        <f t="shared" si="19"/>
        <v>2452500</v>
      </c>
      <c r="U42" s="669">
        <f t="shared" si="19"/>
        <v>17791571.350000001</v>
      </c>
      <c r="V42" s="667">
        <f t="shared" si="19"/>
        <v>2553800</v>
      </c>
      <c r="W42" s="669">
        <f t="shared" si="19"/>
        <v>15574771.350000001</v>
      </c>
      <c r="X42" s="670">
        <f t="shared" si="19"/>
        <v>2506400</v>
      </c>
      <c r="Y42" s="669">
        <f t="shared" si="19"/>
        <v>13357771.350000001</v>
      </c>
      <c r="Z42" s="670">
        <f t="shared" si="19"/>
        <v>2038820</v>
      </c>
      <c r="AA42" s="675">
        <f t="shared" si="19"/>
        <v>11560771.350000001</v>
      </c>
      <c r="AB42" s="672">
        <f t="shared" si="19"/>
        <v>1887741.24</v>
      </c>
      <c r="AC42" s="673">
        <f t="shared" si="19"/>
        <v>9877170.1099999994</v>
      </c>
      <c r="AD42" s="667">
        <f t="shared" si="19"/>
        <v>1442060</v>
      </c>
      <c r="AE42" s="669">
        <f t="shared" si="19"/>
        <v>8605170.1099999994</v>
      </c>
      <c r="AF42" s="670">
        <f t="shared" si="19"/>
        <v>1418645</v>
      </c>
      <c r="AG42" s="669">
        <f t="shared" si="19"/>
        <v>7334026.1100000003</v>
      </c>
      <c r="AH42" s="667">
        <f t="shared" si="19"/>
        <v>1258426.1099999999</v>
      </c>
      <c r="AI42" s="673">
        <f t="shared" si="19"/>
        <v>6200000</v>
      </c>
      <c r="AJ42" s="672">
        <f t="shared" si="19"/>
        <v>1028920</v>
      </c>
      <c r="AK42" s="673">
        <f t="shared" si="19"/>
        <v>5280000</v>
      </c>
      <c r="AL42" s="667">
        <f t="shared" si="19"/>
        <v>1008960</v>
      </c>
      <c r="AM42" s="675">
        <f t="shared" si="19"/>
        <v>4360000</v>
      </c>
      <c r="AN42" s="672">
        <f t="shared" si="19"/>
        <v>989000</v>
      </c>
      <c r="AO42" s="673">
        <f t="shared" si="19"/>
        <v>3440000</v>
      </c>
      <c r="AP42" s="667">
        <f t="shared" si="19"/>
        <v>449040</v>
      </c>
      <c r="AQ42" s="673">
        <f t="shared" si="19"/>
        <v>2520000</v>
      </c>
      <c r="AR42" s="667">
        <f t="shared" si="19"/>
        <v>949080</v>
      </c>
      <c r="AS42" s="673">
        <f t="shared" si="19"/>
        <v>1600000</v>
      </c>
      <c r="AT42" s="667">
        <f t="shared" si="19"/>
        <v>409120</v>
      </c>
      <c r="AU42" s="673">
        <f t="shared" si="19"/>
        <v>1200000</v>
      </c>
      <c r="AV42" s="667">
        <f t="shared" si="19"/>
        <v>406840</v>
      </c>
      <c r="AW42" s="673">
        <f t="shared" si="19"/>
        <v>800000</v>
      </c>
      <c r="AX42" s="667">
        <f t="shared" si="19"/>
        <v>404560</v>
      </c>
      <c r="AY42" s="675">
        <f t="shared" si="19"/>
        <v>400000</v>
      </c>
      <c r="AZ42" s="795">
        <f>AZ40+AZ41</f>
        <v>2280</v>
      </c>
      <c r="BA42" s="796">
        <v>0</v>
      </c>
    </row>
    <row r="43" spans="1:53" ht="38.25" x14ac:dyDescent="0.2">
      <c r="A43" s="858" t="s">
        <v>1023</v>
      </c>
      <c r="B43" s="857" t="s">
        <v>1030</v>
      </c>
      <c r="C43" s="859" t="s">
        <v>1024</v>
      </c>
      <c r="D43" s="860"/>
      <c r="E43" s="861"/>
      <c r="F43" s="862"/>
      <c r="G43" s="861"/>
      <c r="H43" s="860"/>
      <c r="I43" s="859"/>
      <c r="J43" s="863"/>
      <c r="K43" s="864"/>
      <c r="L43" s="865"/>
      <c r="M43" s="866"/>
      <c r="N43" s="860">
        <v>315000</v>
      </c>
      <c r="O43" s="863">
        <v>157500</v>
      </c>
      <c r="P43" s="867"/>
      <c r="Q43" s="860">
        <f>N43-O43</f>
        <v>157500</v>
      </c>
      <c r="R43" s="863">
        <v>157500</v>
      </c>
      <c r="S43" s="862">
        <f>Q43-R43</f>
        <v>0</v>
      </c>
      <c r="T43" s="449"/>
      <c r="U43" s="415"/>
      <c r="V43" s="449"/>
      <c r="W43" s="415"/>
      <c r="X43" s="799"/>
      <c r="Y43" s="415"/>
      <c r="Z43" s="799"/>
      <c r="AA43" s="800"/>
      <c r="AB43" s="801"/>
      <c r="AC43" s="417"/>
      <c r="AD43" s="449"/>
      <c r="AE43" s="415"/>
      <c r="AF43" s="799"/>
      <c r="AG43" s="415"/>
      <c r="AH43" s="449"/>
      <c r="AI43" s="800"/>
      <c r="AJ43" s="801"/>
      <c r="AK43" s="417"/>
      <c r="AL43" s="449"/>
      <c r="AM43" s="800"/>
      <c r="AN43" s="801"/>
      <c r="AO43" s="417"/>
      <c r="AP43" s="449"/>
      <c r="AQ43" s="417"/>
      <c r="AR43" s="449"/>
      <c r="AS43" s="417"/>
      <c r="AT43" s="449"/>
      <c r="AU43" s="417"/>
      <c r="AV43" s="449"/>
      <c r="AW43" s="417"/>
      <c r="AX43" s="449"/>
      <c r="AY43" s="800"/>
      <c r="AZ43" s="802"/>
      <c r="BA43" s="803"/>
    </row>
    <row r="44" spans="1:53" ht="13.5" thickBot="1" x14ac:dyDescent="0.25">
      <c r="A44" s="797"/>
      <c r="B44" s="798"/>
      <c r="C44" s="430" t="s">
        <v>1011</v>
      </c>
      <c r="D44" s="434"/>
      <c r="E44" s="432"/>
      <c r="F44" s="433"/>
      <c r="G44" s="432"/>
      <c r="H44" s="434"/>
      <c r="I44" s="430"/>
      <c r="J44" s="449"/>
      <c r="K44" s="482"/>
      <c r="L44" s="507"/>
      <c r="M44" s="610"/>
      <c r="N44" s="737">
        <f>N43</f>
        <v>315000</v>
      </c>
      <c r="O44" s="738">
        <f t="shared" ref="O44:S44" si="20">O43</f>
        <v>157500</v>
      </c>
      <c r="P44" s="780"/>
      <c r="Q44" s="737">
        <f t="shared" si="20"/>
        <v>157500</v>
      </c>
      <c r="R44" s="738">
        <f t="shared" si="20"/>
        <v>157500</v>
      </c>
      <c r="S44" s="781">
        <f t="shared" si="20"/>
        <v>0</v>
      </c>
      <c r="T44" s="738"/>
      <c r="U44" s="782"/>
      <c r="V44" s="738"/>
      <c r="W44" s="782"/>
      <c r="X44" s="783"/>
      <c r="Y44" s="782"/>
      <c r="Z44" s="783"/>
      <c r="AA44" s="788"/>
      <c r="AB44" s="785"/>
      <c r="AC44" s="786"/>
      <c r="AD44" s="738"/>
      <c r="AE44" s="782"/>
      <c r="AF44" s="783"/>
      <c r="AG44" s="782"/>
      <c r="AH44" s="738"/>
      <c r="AI44" s="786"/>
      <c r="AJ44" s="785"/>
      <c r="AK44" s="786"/>
      <c r="AL44" s="738"/>
      <c r="AM44" s="788"/>
      <c r="AN44" s="785"/>
      <c r="AO44" s="786"/>
      <c r="AP44" s="738"/>
      <c r="AQ44" s="786"/>
      <c r="AR44" s="738"/>
      <c r="AS44" s="786"/>
      <c r="AT44" s="738"/>
      <c r="AU44" s="786"/>
      <c r="AV44" s="738"/>
      <c r="AW44" s="786"/>
      <c r="AX44" s="804"/>
      <c r="AY44" s="788"/>
      <c r="AZ44" s="805"/>
      <c r="BA44" s="806"/>
    </row>
    <row r="45" spans="1:53" ht="13.5" thickBot="1" x14ac:dyDescent="0.25">
      <c r="A45" s="807" t="s">
        <v>1025</v>
      </c>
      <c r="B45" s="808" t="s">
        <v>1026</v>
      </c>
      <c r="C45" s="809"/>
      <c r="D45" s="810"/>
      <c r="E45" s="811"/>
      <c r="F45" s="812"/>
      <c r="G45" s="811"/>
      <c r="H45" s="810"/>
      <c r="I45" s="809"/>
      <c r="J45" s="813"/>
      <c r="K45" s="814"/>
      <c r="L45" s="815"/>
      <c r="M45" s="816"/>
      <c r="N45" s="810"/>
      <c r="O45" s="817"/>
      <c r="P45" s="815"/>
      <c r="Q45" s="810"/>
      <c r="R45" s="817"/>
      <c r="S45" s="818"/>
      <c r="T45" s="817"/>
      <c r="U45" s="819"/>
      <c r="V45" s="817"/>
      <c r="W45" s="819"/>
      <c r="X45" s="814"/>
      <c r="Y45" s="819"/>
      <c r="Z45" s="814"/>
      <c r="AA45" s="820"/>
      <c r="AB45" s="821"/>
      <c r="AC45" s="822"/>
      <c r="AD45" s="823"/>
      <c r="AE45" s="824"/>
      <c r="AF45" s="825"/>
      <c r="AG45" s="826"/>
      <c r="AH45" s="827"/>
      <c r="AI45" s="828"/>
      <c r="AJ45" s="829"/>
      <c r="AK45" s="830"/>
      <c r="AL45" s="827"/>
      <c r="AM45" s="828"/>
      <c r="AN45" s="829"/>
      <c r="AO45" s="830"/>
      <c r="AP45" s="827"/>
      <c r="AQ45" s="830"/>
      <c r="AR45" s="827"/>
      <c r="AS45" s="830"/>
      <c r="AT45" s="827"/>
      <c r="AU45" s="830"/>
      <c r="AV45" s="827"/>
      <c r="AW45" s="830"/>
      <c r="AX45" s="827"/>
      <c r="AY45" s="828"/>
      <c r="AZ45" s="831"/>
      <c r="BA45" s="832"/>
    </row>
    <row r="46" spans="1:53" x14ac:dyDescent="0.2">
      <c r="A46" s="833" t="s">
        <v>1027</v>
      </c>
      <c r="B46" s="834" t="s">
        <v>1028</v>
      </c>
      <c r="C46" s="835" t="s">
        <v>1009</v>
      </c>
      <c r="D46" s="434"/>
      <c r="E46" s="432"/>
      <c r="F46" s="433"/>
      <c r="G46" s="432"/>
      <c r="H46" s="434"/>
      <c r="I46" s="835" t="s">
        <v>1009</v>
      </c>
      <c r="J46" s="449"/>
      <c r="K46" s="482"/>
      <c r="L46" s="507"/>
      <c r="M46" s="437"/>
      <c r="N46" s="434"/>
      <c r="O46" s="438"/>
      <c r="P46" s="507"/>
      <c r="Q46" s="434"/>
      <c r="R46" s="438"/>
      <c r="S46" s="836"/>
      <c r="T46" s="438"/>
      <c r="U46" s="837"/>
      <c r="V46" s="438"/>
      <c r="W46" s="837"/>
      <c r="X46" s="482"/>
      <c r="Y46" s="837"/>
      <c r="Z46" s="482"/>
      <c r="AA46" s="837"/>
      <c r="AB46" s="838"/>
      <c r="AC46" s="839"/>
      <c r="AD46" s="584"/>
      <c r="AE46" s="446"/>
      <c r="AF46" s="486"/>
      <c r="AG46" s="448"/>
      <c r="AH46" s="387"/>
      <c r="AI46" s="840"/>
      <c r="AJ46" s="487"/>
      <c r="AK46" s="425"/>
      <c r="AL46" s="387"/>
      <c r="AM46" s="840"/>
      <c r="AN46" s="487"/>
      <c r="AO46" s="425"/>
      <c r="AP46" s="387"/>
      <c r="AQ46" s="425"/>
      <c r="AR46" s="387"/>
      <c r="AS46" s="425"/>
      <c r="AT46" s="387"/>
      <c r="AU46" s="425"/>
      <c r="AV46" s="387"/>
      <c r="AW46" s="425"/>
      <c r="AX46" s="387"/>
      <c r="AY46" s="840"/>
      <c r="AZ46" s="623"/>
      <c r="BA46" s="620"/>
    </row>
    <row r="47" spans="1:53" x14ac:dyDescent="0.2">
      <c r="A47" s="797"/>
      <c r="B47" s="834"/>
      <c r="C47" s="430" t="s">
        <v>1010</v>
      </c>
      <c r="D47" s="434"/>
      <c r="E47" s="432">
        <v>30800</v>
      </c>
      <c r="F47" s="433"/>
      <c r="G47" s="432">
        <v>6850</v>
      </c>
      <c r="H47" s="434"/>
      <c r="I47" s="430" t="s">
        <v>1010</v>
      </c>
      <c r="J47" s="449"/>
      <c r="K47" s="482">
        <v>20000</v>
      </c>
      <c r="L47" s="507"/>
      <c r="M47" s="437"/>
      <c r="N47" s="434"/>
      <c r="O47" s="438">
        <f>400000-O29</f>
        <v>11102</v>
      </c>
      <c r="P47" s="507"/>
      <c r="Q47" s="434"/>
      <c r="R47" s="438"/>
      <c r="S47" s="836"/>
      <c r="T47" s="438"/>
      <c r="U47" s="837"/>
      <c r="V47" s="438"/>
      <c r="W47" s="837"/>
      <c r="X47" s="482"/>
      <c r="Y47" s="837"/>
      <c r="Z47" s="482"/>
      <c r="AA47" s="837"/>
      <c r="AB47" s="838"/>
      <c r="AC47" s="839"/>
      <c r="AD47" s="584"/>
      <c r="AE47" s="446"/>
      <c r="AF47" s="486"/>
      <c r="AG47" s="448"/>
      <c r="AH47" s="387"/>
      <c r="AI47" s="840"/>
      <c r="AJ47" s="487"/>
      <c r="AK47" s="425"/>
      <c r="AL47" s="387"/>
      <c r="AM47" s="840"/>
      <c r="AN47" s="487"/>
      <c r="AO47" s="425"/>
      <c r="AP47" s="387"/>
      <c r="AQ47" s="425"/>
      <c r="AR47" s="387"/>
      <c r="AS47" s="425"/>
      <c r="AT47" s="387"/>
      <c r="AU47" s="425"/>
      <c r="AV47" s="387"/>
      <c r="AW47" s="425"/>
      <c r="AX47" s="387"/>
      <c r="AY47" s="840"/>
      <c r="AZ47" s="841"/>
      <c r="BA47" s="842"/>
    </row>
    <row r="48" spans="1:53" ht="13.5" thickBot="1" x14ac:dyDescent="0.25">
      <c r="A48" s="797"/>
      <c r="B48" s="834"/>
      <c r="C48" s="430" t="s">
        <v>1011</v>
      </c>
      <c r="D48" s="434"/>
      <c r="E48" s="432"/>
      <c r="F48" s="433"/>
      <c r="G48" s="432"/>
      <c r="H48" s="434"/>
      <c r="I48" s="430" t="s">
        <v>1011</v>
      </c>
      <c r="J48" s="449"/>
      <c r="K48" s="482"/>
      <c r="L48" s="507"/>
      <c r="M48" s="437"/>
      <c r="N48" s="434"/>
      <c r="O48" s="438"/>
      <c r="P48" s="507"/>
      <c r="Q48" s="434"/>
      <c r="R48" s="438"/>
      <c r="S48" s="837"/>
      <c r="T48" s="438"/>
      <c r="U48" s="837"/>
      <c r="V48" s="438"/>
      <c r="W48" s="837"/>
      <c r="X48" s="482"/>
      <c r="Y48" s="837"/>
      <c r="Z48" s="482"/>
      <c r="AA48" s="837"/>
      <c r="AB48" s="838"/>
      <c r="AC48" s="839"/>
      <c r="AD48" s="584"/>
      <c r="AE48" s="446"/>
      <c r="AF48" s="486"/>
      <c r="AG48" s="448"/>
      <c r="AH48" s="387"/>
      <c r="AI48" s="425"/>
      <c r="AJ48" s="843"/>
      <c r="AK48" s="844"/>
      <c r="AL48" s="843"/>
      <c r="AM48" s="844"/>
      <c r="AN48" s="845"/>
      <c r="AO48" s="844"/>
      <c r="AP48" s="843"/>
      <c r="AQ48" s="844"/>
      <c r="AR48" s="843"/>
      <c r="AS48" s="844"/>
      <c r="AT48" s="843"/>
      <c r="AU48" s="844"/>
      <c r="AV48" s="843"/>
      <c r="AW48" s="844"/>
      <c r="AX48" s="843"/>
      <c r="AY48" s="846"/>
      <c r="AZ48" s="847"/>
      <c r="BA48" s="842"/>
    </row>
    <row r="49" spans="1:55" ht="15" customHeight="1" x14ac:dyDescent="0.2">
      <c r="A49" s="1005" t="s">
        <v>1029</v>
      </c>
      <c r="B49" s="1006"/>
      <c r="C49" s="640" t="s">
        <v>1009</v>
      </c>
      <c r="D49" s="641">
        <f>D40</f>
        <v>13100001.24</v>
      </c>
      <c r="E49" s="642" t="e">
        <f>E40</f>
        <v>#REF!</v>
      </c>
      <c r="F49" s="643" t="e">
        <f>F40</f>
        <v>#REF!</v>
      </c>
      <c r="G49" s="642">
        <f>G40</f>
        <v>1676800</v>
      </c>
      <c r="H49" s="641">
        <f>H40</f>
        <v>11423201.24</v>
      </c>
      <c r="I49" s="640" t="s">
        <v>1009</v>
      </c>
      <c r="J49" s="644">
        <f>J40+J46</f>
        <v>9746401.2400000002</v>
      </c>
      <c r="K49" s="645">
        <f t="shared" ref="K49:P49" si="21">K40</f>
        <v>1682800</v>
      </c>
      <c r="L49" s="726">
        <f t="shared" si="21"/>
        <v>0</v>
      </c>
      <c r="M49" s="641" t="e">
        <f t="shared" si="21"/>
        <v>#REF!</v>
      </c>
      <c r="N49" s="641">
        <f t="shared" si="21"/>
        <v>21798423.239999998</v>
      </c>
      <c r="O49" s="644">
        <f t="shared" si="21"/>
        <v>2621151.8899999997</v>
      </c>
      <c r="P49" s="647">
        <f t="shared" si="21"/>
        <v>2600000</v>
      </c>
      <c r="Q49" s="641">
        <f t="shared" ref="Q49:BA49" si="22">Q40</f>
        <v>21777271.350000001</v>
      </c>
      <c r="R49" s="644">
        <f t="shared" si="22"/>
        <v>1916800</v>
      </c>
      <c r="S49" s="766">
        <f t="shared" si="22"/>
        <v>19860471.350000001</v>
      </c>
      <c r="T49" s="644">
        <f t="shared" si="22"/>
        <v>2068900</v>
      </c>
      <c r="U49" s="766">
        <f t="shared" si="22"/>
        <v>17791571.350000001</v>
      </c>
      <c r="V49" s="644">
        <f t="shared" si="22"/>
        <v>2216800</v>
      </c>
      <c r="W49" s="766">
        <f t="shared" si="22"/>
        <v>15574771.350000001</v>
      </c>
      <c r="X49" s="767">
        <f t="shared" si="22"/>
        <v>2217000</v>
      </c>
      <c r="Y49" s="766">
        <f t="shared" si="22"/>
        <v>13357771.350000001</v>
      </c>
      <c r="Z49" s="767">
        <f t="shared" si="22"/>
        <v>1797000</v>
      </c>
      <c r="AA49" s="766">
        <f t="shared" si="22"/>
        <v>11560771.350000001</v>
      </c>
      <c r="AB49" s="644">
        <f t="shared" si="22"/>
        <v>1683601.24</v>
      </c>
      <c r="AC49" s="769">
        <f t="shared" si="22"/>
        <v>9877170.1099999994</v>
      </c>
      <c r="AD49" s="644">
        <f t="shared" si="22"/>
        <v>1272000</v>
      </c>
      <c r="AE49" s="766">
        <f t="shared" si="22"/>
        <v>8605170.1099999994</v>
      </c>
      <c r="AF49" s="767">
        <f t="shared" si="22"/>
        <v>1271145</v>
      </c>
      <c r="AG49" s="766">
        <f t="shared" si="22"/>
        <v>7334026.1100000003</v>
      </c>
      <c r="AH49" s="644">
        <f t="shared" si="22"/>
        <v>1134026.1099999999</v>
      </c>
      <c r="AI49" s="769">
        <f t="shared" si="22"/>
        <v>6200000</v>
      </c>
      <c r="AJ49" s="644">
        <f t="shared" si="22"/>
        <v>920000</v>
      </c>
      <c r="AK49" s="769">
        <f t="shared" si="22"/>
        <v>5280000</v>
      </c>
      <c r="AL49" s="644">
        <f t="shared" si="22"/>
        <v>920000</v>
      </c>
      <c r="AM49" s="848">
        <f t="shared" si="22"/>
        <v>4360000</v>
      </c>
      <c r="AN49" s="767">
        <f t="shared" si="22"/>
        <v>920000</v>
      </c>
      <c r="AO49" s="769">
        <f t="shared" si="22"/>
        <v>3440000</v>
      </c>
      <c r="AP49" s="644">
        <f t="shared" si="22"/>
        <v>400000</v>
      </c>
      <c r="AQ49" s="769">
        <f t="shared" si="22"/>
        <v>2520000</v>
      </c>
      <c r="AR49" s="644">
        <f t="shared" si="22"/>
        <v>920000</v>
      </c>
      <c r="AS49" s="769">
        <f t="shared" si="22"/>
        <v>1600000</v>
      </c>
      <c r="AT49" s="644">
        <f t="shared" si="22"/>
        <v>400000</v>
      </c>
      <c r="AU49" s="769">
        <f t="shared" si="22"/>
        <v>1200000</v>
      </c>
      <c r="AV49" s="644">
        <f t="shared" si="22"/>
        <v>400000</v>
      </c>
      <c r="AW49" s="769">
        <f t="shared" si="22"/>
        <v>800000</v>
      </c>
      <c r="AX49" s="644">
        <f t="shared" si="22"/>
        <v>400000</v>
      </c>
      <c r="AY49" s="848">
        <f t="shared" si="22"/>
        <v>400000</v>
      </c>
      <c r="AZ49" s="849">
        <f t="shared" si="22"/>
        <v>0</v>
      </c>
      <c r="BA49" s="850">
        <f t="shared" si="22"/>
        <v>0</v>
      </c>
      <c r="BC49" s="851"/>
    </row>
    <row r="50" spans="1:55" ht="15" customHeight="1" x14ac:dyDescent="0.2">
      <c r="A50" s="1007"/>
      <c r="B50" s="1008"/>
      <c r="C50" s="852" t="s">
        <v>1024</v>
      </c>
      <c r="D50" s="737"/>
      <c r="E50" s="736"/>
      <c r="F50" s="781"/>
      <c r="G50" s="736"/>
      <c r="H50" s="737"/>
      <c r="I50" s="852"/>
      <c r="J50" s="738"/>
      <c r="K50" s="739"/>
      <c r="L50" s="704"/>
      <c r="M50" s="737"/>
      <c r="N50" s="737">
        <f>N43</f>
        <v>315000</v>
      </c>
      <c r="O50" s="738">
        <f>O44</f>
        <v>157500</v>
      </c>
      <c r="P50" s="780"/>
      <c r="Q50" s="737">
        <f>Q44</f>
        <v>157500</v>
      </c>
      <c r="R50" s="738">
        <f>R44</f>
        <v>157500</v>
      </c>
      <c r="S50" s="782">
        <f>S44</f>
        <v>0</v>
      </c>
      <c r="T50" s="738"/>
      <c r="U50" s="782"/>
      <c r="V50" s="738"/>
      <c r="W50" s="782"/>
      <c r="X50" s="783"/>
      <c r="Y50" s="782"/>
      <c r="Z50" s="783"/>
      <c r="AA50" s="782"/>
      <c r="AB50" s="738"/>
      <c r="AC50" s="786"/>
      <c r="AD50" s="738"/>
      <c r="AE50" s="782"/>
      <c r="AF50" s="783"/>
      <c r="AG50" s="782"/>
      <c r="AH50" s="738"/>
      <c r="AI50" s="786"/>
      <c r="AJ50" s="738"/>
      <c r="AK50" s="786"/>
      <c r="AL50" s="738"/>
      <c r="AM50" s="788"/>
      <c r="AN50" s="783"/>
      <c r="AO50" s="786"/>
      <c r="AP50" s="738"/>
      <c r="AQ50" s="786"/>
      <c r="AR50" s="738"/>
      <c r="AS50" s="786"/>
      <c r="AT50" s="738"/>
      <c r="AU50" s="786"/>
      <c r="AV50" s="738"/>
      <c r="AW50" s="786"/>
      <c r="AX50" s="738"/>
      <c r="AY50" s="788"/>
      <c r="AZ50" s="853"/>
      <c r="BA50" s="854"/>
      <c r="BC50" s="851"/>
    </row>
    <row r="51" spans="1:55" ht="15" customHeight="1" x14ac:dyDescent="0.2">
      <c r="A51" s="1007"/>
      <c r="B51" s="1008"/>
      <c r="C51" s="852" t="s">
        <v>1010</v>
      </c>
      <c r="D51" s="737"/>
      <c r="E51" s="736" t="e">
        <f>E41+E47</f>
        <v>#REF!</v>
      </c>
      <c r="F51" s="781"/>
      <c r="G51" s="736">
        <f>G41+G46+G47</f>
        <v>406850</v>
      </c>
      <c r="H51" s="737"/>
      <c r="I51" s="852" t="s">
        <v>1010</v>
      </c>
      <c r="J51" s="738"/>
      <c r="K51" s="739" t="e">
        <f>K41+K47</f>
        <v>#REF!</v>
      </c>
      <c r="L51" s="704" t="e">
        <f>L41+L47</f>
        <v>#REF!</v>
      </c>
      <c r="M51" s="737" t="e">
        <f>M41+M47</f>
        <v>#REF!</v>
      </c>
      <c r="N51" s="737"/>
      <c r="O51" s="738">
        <f>O41+O47</f>
        <v>400000</v>
      </c>
      <c r="P51" s="780"/>
      <c r="Q51" s="737"/>
      <c r="R51" s="738">
        <f>R41+R47</f>
        <v>429440</v>
      </c>
      <c r="S51" s="782"/>
      <c r="T51" s="738">
        <f>T41+T47</f>
        <v>383600</v>
      </c>
      <c r="U51" s="782"/>
      <c r="V51" s="738">
        <f>V41+V47</f>
        <v>337000</v>
      </c>
      <c r="W51" s="782"/>
      <c r="X51" s="783">
        <f>X41+X47</f>
        <v>289400</v>
      </c>
      <c r="Y51" s="782"/>
      <c r="Z51" s="783">
        <f>Z41+Z47</f>
        <v>241820</v>
      </c>
      <c r="AA51" s="782"/>
      <c r="AB51" s="738">
        <f>AB41+AB47</f>
        <v>204140</v>
      </c>
      <c r="AC51" s="786"/>
      <c r="AD51" s="738">
        <f>AD41+AD47</f>
        <v>170060</v>
      </c>
      <c r="AE51" s="782"/>
      <c r="AF51" s="783">
        <f>AF41+AF47</f>
        <v>147500</v>
      </c>
      <c r="AG51" s="782"/>
      <c r="AH51" s="738">
        <f>AH41+AH47</f>
        <v>124400</v>
      </c>
      <c r="AI51" s="786"/>
      <c r="AJ51" s="738">
        <f>AJ41+AJ47</f>
        <v>108920</v>
      </c>
      <c r="AK51" s="786"/>
      <c r="AL51" s="738">
        <f>AL41+AL47</f>
        <v>88960</v>
      </c>
      <c r="AM51" s="788"/>
      <c r="AN51" s="783">
        <f>AN41+AN47</f>
        <v>69000</v>
      </c>
      <c r="AO51" s="786"/>
      <c r="AP51" s="738">
        <f>AP41+AP47</f>
        <v>49040</v>
      </c>
      <c r="AQ51" s="786"/>
      <c r="AR51" s="738">
        <f>AR41+AR47</f>
        <v>29080</v>
      </c>
      <c r="AS51" s="786"/>
      <c r="AT51" s="738">
        <f>AT41+AT47</f>
        <v>9120</v>
      </c>
      <c r="AU51" s="786"/>
      <c r="AV51" s="738">
        <f>AV41+AV47</f>
        <v>6840</v>
      </c>
      <c r="AW51" s="786"/>
      <c r="AX51" s="738">
        <f>AX41+AX47</f>
        <v>4560</v>
      </c>
      <c r="AY51" s="788"/>
      <c r="AZ51" s="853">
        <f>AZ41</f>
        <v>2280</v>
      </c>
      <c r="BA51" s="854"/>
      <c r="BB51" s="851"/>
    </row>
    <row r="52" spans="1:55" ht="15.75" customHeight="1" thickBot="1" x14ac:dyDescent="0.25">
      <c r="A52" s="1009"/>
      <c r="B52" s="1010"/>
      <c r="C52" s="658" t="s">
        <v>1011</v>
      </c>
      <c r="D52" s="662">
        <f>D49</f>
        <v>13100001.24</v>
      </c>
      <c r="E52" s="660" t="e">
        <f>SUM(E49:E51)</f>
        <v>#REF!</v>
      </c>
      <c r="F52" s="661" t="e">
        <f>F49</f>
        <v>#REF!</v>
      </c>
      <c r="G52" s="660">
        <f>G49+G51</f>
        <v>2083650</v>
      </c>
      <c r="H52" s="662">
        <f>H49</f>
        <v>11423201.24</v>
      </c>
      <c r="I52" s="658" t="s">
        <v>1011</v>
      </c>
      <c r="J52" s="667">
        <f>J49</f>
        <v>9746401.2400000002</v>
      </c>
      <c r="K52" s="664" t="e">
        <f>SUM(K49:K51)</f>
        <v>#REF!</v>
      </c>
      <c r="L52" s="752" t="e">
        <f t="shared" ref="L52:AY52" si="23">SUM(L49:L51)</f>
        <v>#REF!</v>
      </c>
      <c r="M52" s="662" t="e">
        <f t="shared" si="23"/>
        <v>#REF!</v>
      </c>
      <c r="N52" s="662">
        <f>N49+N50</f>
        <v>22113423.239999998</v>
      </c>
      <c r="O52" s="667">
        <f t="shared" si="23"/>
        <v>3178651.8899999997</v>
      </c>
      <c r="P52" s="675">
        <f>P49</f>
        <v>2600000</v>
      </c>
      <c r="Q52" s="669">
        <f t="shared" si="23"/>
        <v>21934771.350000001</v>
      </c>
      <c r="R52" s="667">
        <f t="shared" si="23"/>
        <v>2503740</v>
      </c>
      <c r="S52" s="669">
        <f t="shared" si="23"/>
        <v>19860471.350000001</v>
      </c>
      <c r="T52" s="667">
        <f t="shared" si="23"/>
        <v>2452500</v>
      </c>
      <c r="U52" s="669">
        <f t="shared" si="23"/>
        <v>17791571.350000001</v>
      </c>
      <c r="V52" s="667">
        <f t="shared" si="23"/>
        <v>2553800</v>
      </c>
      <c r="W52" s="669">
        <f t="shared" si="23"/>
        <v>15574771.350000001</v>
      </c>
      <c r="X52" s="670">
        <f t="shared" si="23"/>
        <v>2506400</v>
      </c>
      <c r="Y52" s="669">
        <f t="shared" si="23"/>
        <v>13357771.350000001</v>
      </c>
      <c r="Z52" s="670">
        <f t="shared" si="23"/>
        <v>2038820</v>
      </c>
      <c r="AA52" s="669">
        <f t="shared" si="23"/>
        <v>11560771.350000001</v>
      </c>
      <c r="AB52" s="667">
        <f t="shared" si="23"/>
        <v>1887741.24</v>
      </c>
      <c r="AC52" s="673">
        <f t="shared" si="23"/>
        <v>9877170.1099999994</v>
      </c>
      <c r="AD52" s="667">
        <f t="shared" si="23"/>
        <v>1442060</v>
      </c>
      <c r="AE52" s="669">
        <f t="shared" si="23"/>
        <v>8605170.1099999994</v>
      </c>
      <c r="AF52" s="670">
        <f t="shared" si="23"/>
        <v>1418645</v>
      </c>
      <c r="AG52" s="669">
        <f t="shared" si="23"/>
        <v>7334026.1100000003</v>
      </c>
      <c r="AH52" s="667">
        <f t="shared" si="23"/>
        <v>1258426.1099999999</v>
      </c>
      <c r="AI52" s="673">
        <f t="shared" si="23"/>
        <v>6200000</v>
      </c>
      <c r="AJ52" s="667">
        <f t="shared" si="23"/>
        <v>1028920</v>
      </c>
      <c r="AK52" s="673">
        <f t="shared" si="23"/>
        <v>5280000</v>
      </c>
      <c r="AL52" s="667">
        <f t="shared" si="23"/>
        <v>1008960</v>
      </c>
      <c r="AM52" s="675">
        <f t="shared" si="23"/>
        <v>4360000</v>
      </c>
      <c r="AN52" s="670">
        <f t="shared" si="23"/>
        <v>989000</v>
      </c>
      <c r="AO52" s="673">
        <f t="shared" si="23"/>
        <v>3440000</v>
      </c>
      <c r="AP52" s="667">
        <f t="shared" si="23"/>
        <v>449040</v>
      </c>
      <c r="AQ52" s="673">
        <f t="shared" si="23"/>
        <v>2520000</v>
      </c>
      <c r="AR52" s="667">
        <f t="shared" si="23"/>
        <v>949080</v>
      </c>
      <c r="AS52" s="673">
        <f t="shared" si="23"/>
        <v>1600000</v>
      </c>
      <c r="AT52" s="667">
        <f t="shared" si="23"/>
        <v>409120</v>
      </c>
      <c r="AU52" s="673">
        <f t="shared" si="23"/>
        <v>1200000</v>
      </c>
      <c r="AV52" s="667">
        <f t="shared" si="23"/>
        <v>406840</v>
      </c>
      <c r="AW52" s="673">
        <f t="shared" si="23"/>
        <v>800000</v>
      </c>
      <c r="AX52" s="667">
        <f t="shared" si="23"/>
        <v>404560</v>
      </c>
      <c r="AY52" s="675">
        <f t="shared" si="23"/>
        <v>400000</v>
      </c>
      <c r="AZ52" s="855">
        <f>AZ42</f>
        <v>2280</v>
      </c>
      <c r="BA52" s="856">
        <f>BA42</f>
        <v>0</v>
      </c>
      <c r="BB52" s="179"/>
    </row>
  </sheetData>
  <mergeCells count="40">
    <mergeCell ref="A19:A21"/>
    <mergeCell ref="B19:B21"/>
    <mergeCell ref="A28:B30"/>
    <mergeCell ref="A37:B39"/>
    <mergeCell ref="B40:B42"/>
    <mergeCell ref="A49:B52"/>
    <mergeCell ref="AX2:AY2"/>
    <mergeCell ref="AZ2:BA2"/>
    <mergeCell ref="B4:B6"/>
    <mergeCell ref="B7:B9"/>
    <mergeCell ref="B10:B12"/>
    <mergeCell ref="B13:B15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N3"/>
    <mergeCell ref="O2:Q2"/>
    <mergeCell ref="R2:S2"/>
    <mergeCell ref="T2:U2"/>
    <mergeCell ref="V2:W2"/>
    <mergeCell ref="X2:Y2"/>
    <mergeCell ref="C1:Q1"/>
    <mergeCell ref="A2:A3"/>
    <mergeCell ref="B2:B3"/>
    <mergeCell ref="C2:C3"/>
    <mergeCell ref="D2:D3"/>
    <mergeCell ref="E2:F2"/>
    <mergeCell ref="G2:H2"/>
    <mergeCell ref="I2:I3"/>
    <mergeCell ref="J2:J3"/>
    <mergeCell ref="K2:M2"/>
  </mergeCells>
  <pageMargins left="0.70866141732283472" right="0.11811023622047245" top="0.74803149606299213" bottom="0.15748031496062992" header="0.31496062992125984" footer="0.11811023622047245"/>
  <pageSetup paperSize="9" orientation="portrait" r:id="rId1"/>
  <headerFooter>
    <oddFooter>Strona &amp;P z &amp;N</oddFooter>
  </headerFooter>
  <colBreaks count="5" manualBreakCount="5">
    <brk id="21" max="55" man="1"/>
    <brk id="25" max="1048575" man="1"/>
    <brk id="41" max="1048575" man="1"/>
    <brk id="45" max="1048575" man="1"/>
    <brk id="4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Zał. nr 1</vt:lpstr>
      <vt:lpstr>Zał. nr 2</vt:lpstr>
      <vt:lpstr>Zał. nr 3 prognoza długu</vt:lpstr>
      <vt:lpstr>'Zał. nr 1'!Tytuły_wydruku</vt:lpstr>
      <vt:lpstr>'Zał. nr 2'!Tytuły_wydruku</vt:lpstr>
      <vt:lpstr>'Zał. nr 3 prognoza długu'!Tytuły_wydruku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2018-11-08T13:39:55Z</cp:lastPrinted>
  <dcterms:created xsi:type="dcterms:W3CDTF">2018-11-03T11:41:08Z</dcterms:created>
  <dcterms:modified xsi:type="dcterms:W3CDTF">2018-11-14T13:39:46Z</dcterms:modified>
</cp:coreProperties>
</file>