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45" windowWidth="17955" windowHeight="6675" firstSheet="10" activeTab="14"/>
  </bookViews>
  <sheets>
    <sheet name="Zał. nr 1" sheetId="1" r:id="rId1"/>
    <sheet name="Zał. nr 2" sheetId="2" r:id="rId2"/>
    <sheet name="Zał. nr 3 " sheetId="7" r:id="rId3"/>
    <sheet name="Zal. nr 4" sheetId="3" r:id="rId4"/>
    <sheet name="Zał. nr 5" sheetId="6" r:id="rId5"/>
    <sheet name="Zał.Nr 6." sheetId="12" r:id="rId6"/>
    <sheet name="Zał. nr 7" sheetId="8" r:id="rId7"/>
    <sheet name="Zał. nr 8" sheetId="4" r:id="rId8"/>
    <sheet name="Zal. nr 9." sheetId="13" r:id="rId9"/>
    <sheet name="Zał.nr 10" sheetId="5" r:id="rId10"/>
    <sheet name="Zał. nr 11" sheetId="11" r:id="rId11"/>
    <sheet name="Zał. nr 12 przedsięzwięcia" sheetId="9" r:id="rId12"/>
    <sheet name="Tabela nr 1." sheetId="10" r:id="rId13"/>
    <sheet name="Zał. nr 13" sheetId="15" r:id="rId14"/>
    <sheet name="Zał. nr 14 Odpady komunlane" sheetId="14" r:id="rId15"/>
  </sheets>
  <externalReferences>
    <externalReference r:id="rId16"/>
  </externalReferences>
  <definedNames>
    <definedName name="_xlnm._FilterDatabase" localSheetId="11" hidden="1">'Zał. nr 12 przedsięzwięcia'!$A$6:$H$170</definedName>
    <definedName name="Excel_BuiltIn_Print_Titles_2" localSheetId="12">#REF!</definedName>
    <definedName name="Excel_BuiltIn_Print_Titles_2" localSheetId="3">#REF!</definedName>
    <definedName name="Excel_BuiltIn_Print_Titles_2" localSheetId="8">#REF!</definedName>
    <definedName name="Excel_BuiltIn_Print_Titles_2" localSheetId="10">#REF!</definedName>
    <definedName name="Excel_BuiltIn_Print_Titles_2" localSheetId="11">#REF!</definedName>
    <definedName name="Excel_BuiltIn_Print_Titles_2" localSheetId="13">#REF!</definedName>
    <definedName name="Excel_BuiltIn_Print_Titles_2" localSheetId="14">#REF!</definedName>
    <definedName name="Excel_BuiltIn_Print_Titles_2" localSheetId="2">#REF!</definedName>
    <definedName name="Excel_BuiltIn_Print_Titles_2" localSheetId="4">#REF!</definedName>
    <definedName name="Excel_BuiltIn_Print_Titles_2" localSheetId="6">#REF!</definedName>
    <definedName name="Excel_BuiltIn_Print_Titles_2" localSheetId="7">#REF!</definedName>
    <definedName name="Excel_BuiltIn_Print_Titles_2" localSheetId="9">#REF!</definedName>
    <definedName name="Excel_BuiltIn_Print_Titles_2" localSheetId="5">#REF!</definedName>
    <definedName name="Excel_BuiltIn_Print_Titles_2">#REF!</definedName>
    <definedName name="Excel_BuiltIn_Print_Titles_2_1" localSheetId="12">#REF!</definedName>
    <definedName name="Excel_BuiltIn_Print_Titles_2_1" localSheetId="3">#REF!</definedName>
    <definedName name="Excel_BuiltIn_Print_Titles_2_1" localSheetId="8">#REF!</definedName>
    <definedName name="Excel_BuiltIn_Print_Titles_2_1" localSheetId="10">#REF!</definedName>
    <definedName name="Excel_BuiltIn_Print_Titles_2_1" localSheetId="11">#REF!</definedName>
    <definedName name="Excel_BuiltIn_Print_Titles_2_1" localSheetId="13">#REF!</definedName>
    <definedName name="Excel_BuiltIn_Print_Titles_2_1" localSheetId="14">#REF!</definedName>
    <definedName name="Excel_BuiltIn_Print_Titles_2_1" localSheetId="2">#REF!</definedName>
    <definedName name="Excel_BuiltIn_Print_Titles_2_1" localSheetId="4">#REF!</definedName>
    <definedName name="Excel_BuiltIn_Print_Titles_2_1" localSheetId="6">#REF!</definedName>
    <definedName name="Excel_BuiltIn_Print_Titles_2_1" localSheetId="7">#REF!</definedName>
    <definedName name="Excel_BuiltIn_Print_Titles_2_1" localSheetId="9">#REF!</definedName>
    <definedName name="Excel_BuiltIn_Print_Titles_2_1" localSheetId="5">#REF!</definedName>
    <definedName name="Excel_BuiltIn_Print_Titles_2_1">#REF!</definedName>
    <definedName name="Excel_BuiltIn_Print_Titles_2_1_1" localSheetId="12">#REF!</definedName>
    <definedName name="Excel_BuiltIn_Print_Titles_2_1_1" localSheetId="3">#REF!</definedName>
    <definedName name="Excel_BuiltIn_Print_Titles_2_1_1" localSheetId="8">#REF!</definedName>
    <definedName name="Excel_BuiltIn_Print_Titles_2_1_1" localSheetId="10">#REF!</definedName>
    <definedName name="Excel_BuiltIn_Print_Titles_2_1_1" localSheetId="11">#REF!</definedName>
    <definedName name="Excel_BuiltIn_Print_Titles_2_1_1" localSheetId="13">#REF!</definedName>
    <definedName name="Excel_BuiltIn_Print_Titles_2_1_1" localSheetId="14">#REF!</definedName>
    <definedName name="Excel_BuiltIn_Print_Titles_2_1_1" localSheetId="2">#REF!</definedName>
    <definedName name="Excel_BuiltIn_Print_Titles_2_1_1" localSheetId="4">#REF!</definedName>
    <definedName name="Excel_BuiltIn_Print_Titles_2_1_1" localSheetId="6">#REF!</definedName>
    <definedName name="Excel_BuiltIn_Print_Titles_2_1_1" localSheetId="7">#REF!</definedName>
    <definedName name="Excel_BuiltIn_Print_Titles_2_1_1" localSheetId="9">#REF!</definedName>
    <definedName name="Excel_BuiltIn_Print_Titles_2_1_1" localSheetId="5">#REF!</definedName>
    <definedName name="Excel_BuiltIn_Print_Titles_2_1_1">#REF!</definedName>
    <definedName name="Excel_BuiltIn_Print_Titles_3_1" localSheetId="12">#REF!</definedName>
    <definedName name="Excel_BuiltIn_Print_Titles_3_1" localSheetId="3">#REF!</definedName>
    <definedName name="Excel_BuiltIn_Print_Titles_3_1" localSheetId="8">#REF!</definedName>
    <definedName name="Excel_BuiltIn_Print_Titles_3_1" localSheetId="10">#REF!</definedName>
    <definedName name="Excel_BuiltIn_Print_Titles_3_1" localSheetId="11">#REF!</definedName>
    <definedName name="Excel_BuiltIn_Print_Titles_3_1" localSheetId="13">#REF!</definedName>
    <definedName name="Excel_BuiltIn_Print_Titles_3_1" localSheetId="14">#REF!</definedName>
    <definedName name="Excel_BuiltIn_Print_Titles_3_1" localSheetId="2">#REF!</definedName>
    <definedName name="Excel_BuiltIn_Print_Titles_3_1" localSheetId="4">#REF!</definedName>
    <definedName name="Excel_BuiltIn_Print_Titles_3_1" localSheetId="6">#REF!</definedName>
    <definedName name="Excel_BuiltIn_Print_Titles_3_1" localSheetId="7">#REF!</definedName>
    <definedName name="Excel_BuiltIn_Print_Titles_3_1" localSheetId="9">#REF!</definedName>
    <definedName name="Excel_BuiltIn_Print_Titles_3_1" localSheetId="5">#REF!</definedName>
    <definedName name="Excel_BuiltIn_Print_Titles_3_1">#REF!</definedName>
    <definedName name="Excel_BuiltIn_Print_Titles_3_1_1" localSheetId="12">#REF!</definedName>
    <definedName name="Excel_BuiltIn_Print_Titles_3_1_1" localSheetId="3">#REF!</definedName>
    <definedName name="Excel_BuiltIn_Print_Titles_3_1_1" localSheetId="8">#REF!</definedName>
    <definedName name="Excel_BuiltIn_Print_Titles_3_1_1" localSheetId="10">#REF!</definedName>
    <definedName name="Excel_BuiltIn_Print_Titles_3_1_1" localSheetId="11">#REF!</definedName>
    <definedName name="Excel_BuiltIn_Print_Titles_3_1_1" localSheetId="13">#REF!</definedName>
    <definedName name="Excel_BuiltIn_Print_Titles_3_1_1" localSheetId="14">#REF!</definedName>
    <definedName name="Excel_BuiltIn_Print_Titles_3_1_1" localSheetId="2">#REF!</definedName>
    <definedName name="Excel_BuiltIn_Print_Titles_3_1_1" localSheetId="4">#REF!</definedName>
    <definedName name="Excel_BuiltIn_Print_Titles_3_1_1" localSheetId="6">#REF!</definedName>
    <definedName name="Excel_BuiltIn_Print_Titles_3_1_1" localSheetId="7">#REF!</definedName>
    <definedName name="Excel_BuiltIn_Print_Titles_3_1_1" localSheetId="9">#REF!</definedName>
    <definedName name="Excel_BuiltIn_Print_Titles_3_1_1" localSheetId="5">#REF!</definedName>
    <definedName name="Excel_BuiltIn_Print_Titles_3_1_1">#REF!</definedName>
    <definedName name="Excel_BuiltIn_Print_Titles_5" localSheetId="12">#REF!</definedName>
    <definedName name="Excel_BuiltIn_Print_Titles_5" localSheetId="3">#REF!</definedName>
    <definedName name="Excel_BuiltIn_Print_Titles_5" localSheetId="8">#REF!</definedName>
    <definedName name="Excel_BuiltIn_Print_Titles_5" localSheetId="10">#REF!</definedName>
    <definedName name="Excel_BuiltIn_Print_Titles_5" localSheetId="11">#REF!</definedName>
    <definedName name="Excel_BuiltIn_Print_Titles_5" localSheetId="13">#REF!</definedName>
    <definedName name="Excel_BuiltIn_Print_Titles_5" localSheetId="14">#REF!</definedName>
    <definedName name="Excel_BuiltIn_Print_Titles_5" localSheetId="2">#REF!</definedName>
    <definedName name="Excel_BuiltIn_Print_Titles_5" localSheetId="4">#REF!</definedName>
    <definedName name="Excel_BuiltIn_Print_Titles_5" localSheetId="6">#REF!</definedName>
    <definedName name="Excel_BuiltIn_Print_Titles_5" localSheetId="7">#REF!</definedName>
    <definedName name="Excel_BuiltIn_Print_Titles_5" localSheetId="9">#REF!</definedName>
    <definedName name="Excel_BuiltIn_Print_Titles_5" localSheetId="5">#REF!</definedName>
    <definedName name="Excel_BuiltIn_Print_Titles_5">#REF!</definedName>
    <definedName name="Excel_BuiltIn_Print_Titles_5_1" localSheetId="12">#REF!</definedName>
    <definedName name="Excel_BuiltIn_Print_Titles_5_1" localSheetId="3">#REF!</definedName>
    <definedName name="Excel_BuiltIn_Print_Titles_5_1" localSheetId="8">#REF!</definedName>
    <definedName name="Excel_BuiltIn_Print_Titles_5_1" localSheetId="10">#REF!</definedName>
    <definedName name="Excel_BuiltIn_Print_Titles_5_1" localSheetId="11">#REF!</definedName>
    <definedName name="Excel_BuiltIn_Print_Titles_5_1" localSheetId="13">#REF!</definedName>
    <definedName name="Excel_BuiltIn_Print_Titles_5_1" localSheetId="14">#REF!</definedName>
    <definedName name="Excel_BuiltIn_Print_Titles_5_1" localSheetId="2">#REF!</definedName>
    <definedName name="Excel_BuiltIn_Print_Titles_5_1" localSheetId="4">#REF!</definedName>
    <definedName name="Excel_BuiltIn_Print_Titles_5_1" localSheetId="6">#REF!</definedName>
    <definedName name="Excel_BuiltIn_Print_Titles_5_1" localSheetId="7">#REF!</definedName>
    <definedName name="Excel_BuiltIn_Print_Titles_5_1" localSheetId="9">#REF!</definedName>
    <definedName name="Excel_BuiltIn_Print_Titles_5_1" localSheetId="5">#REF!</definedName>
    <definedName name="Excel_BuiltIn_Print_Titles_5_1">#REF!</definedName>
    <definedName name="Excel_BuiltIn_Print_Titles_6" localSheetId="12">#REF!</definedName>
    <definedName name="Excel_BuiltIn_Print_Titles_6" localSheetId="3">#REF!</definedName>
    <definedName name="Excel_BuiltIn_Print_Titles_6" localSheetId="8">#REF!</definedName>
    <definedName name="Excel_BuiltIn_Print_Titles_6" localSheetId="10">#REF!</definedName>
    <definedName name="Excel_BuiltIn_Print_Titles_6" localSheetId="11">#REF!</definedName>
    <definedName name="Excel_BuiltIn_Print_Titles_6" localSheetId="13">#REF!</definedName>
    <definedName name="Excel_BuiltIn_Print_Titles_6" localSheetId="14">#REF!</definedName>
    <definedName name="Excel_BuiltIn_Print_Titles_6" localSheetId="2">#REF!</definedName>
    <definedName name="Excel_BuiltIn_Print_Titles_6" localSheetId="4">#REF!</definedName>
    <definedName name="Excel_BuiltIn_Print_Titles_6" localSheetId="6">#REF!</definedName>
    <definedName name="Excel_BuiltIn_Print_Titles_6" localSheetId="7">#REF!</definedName>
    <definedName name="Excel_BuiltIn_Print_Titles_6" localSheetId="9">#REF!</definedName>
    <definedName name="Excel_BuiltIn_Print_Titles_6" localSheetId="5">#REF!</definedName>
    <definedName name="Excel_BuiltIn_Print_Titles_6">#REF!</definedName>
    <definedName name="Excel_BuiltIn_Print_Titles_6_1" localSheetId="12">#REF!</definedName>
    <definedName name="Excel_BuiltIn_Print_Titles_6_1" localSheetId="3">#REF!</definedName>
    <definedName name="Excel_BuiltIn_Print_Titles_6_1" localSheetId="8">#REF!</definedName>
    <definedName name="Excel_BuiltIn_Print_Titles_6_1" localSheetId="10">#REF!</definedName>
    <definedName name="Excel_BuiltIn_Print_Titles_6_1" localSheetId="11">#REF!</definedName>
    <definedName name="Excel_BuiltIn_Print_Titles_6_1" localSheetId="13">#REF!</definedName>
    <definedName name="Excel_BuiltIn_Print_Titles_6_1" localSheetId="14">#REF!</definedName>
    <definedName name="Excel_BuiltIn_Print_Titles_6_1" localSheetId="2">#REF!</definedName>
    <definedName name="Excel_BuiltIn_Print_Titles_6_1" localSheetId="4">#REF!</definedName>
    <definedName name="Excel_BuiltIn_Print_Titles_6_1" localSheetId="6">#REF!</definedName>
    <definedName name="Excel_BuiltIn_Print_Titles_6_1" localSheetId="7">#REF!</definedName>
    <definedName name="Excel_BuiltIn_Print_Titles_6_1" localSheetId="9">#REF!</definedName>
    <definedName name="Excel_BuiltIn_Print_Titles_6_1" localSheetId="5">#REF!</definedName>
    <definedName name="Excel_BuiltIn_Print_Titles_6_1">#REF!</definedName>
    <definedName name="Excel_BuiltIn_Print_Titles_8" localSheetId="12">#REF!</definedName>
    <definedName name="Excel_BuiltIn_Print_Titles_8" localSheetId="3">#REF!</definedName>
    <definedName name="Excel_BuiltIn_Print_Titles_8" localSheetId="8">#REF!</definedName>
    <definedName name="Excel_BuiltIn_Print_Titles_8" localSheetId="10">#REF!</definedName>
    <definedName name="Excel_BuiltIn_Print_Titles_8" localSheetId="11">#REF!</definedName>
    <definedName name="Excel_BuiltIn_Print_Titles_8" localSheetId="13">#REF!</definedName>
    <definedName name="Excel_BuiltIn_Print_Titles_8" localSheetId="14">#REF!</definedName>
    <definedName name="Excel_BuiltIn_Print_Titles_8" localSheetId="2">#REF!</definedName>
    <definedName name="Excel_BuiltIn_Print_Titles_8" localSheetId="4">#REF!</definedName>
    <definedName name="Excel_BuiltIn_Print_Titles_8" localSheetId="6">#REF!</definedName>
    <definedName name="Excel_BuiltIn_Print_Titles_8" localSheetId="7">#REF!</definedName>
    <definedName name="Excel_BuiltIn_Print_Titles_8" localSheetId="9">#REF!</definedName>
    <definedName name="Excel_BuiltIn_Print_Titles_8" localSheetId="5">#REF!</definedName>
    <definedName name="Excel_BuiltIn_Print_Titles_8">#REF!</definedName>
    <definedName name="Excel_BuiltIn_Print_Titles_8_1" localSheetId="12">#REF!</definedName>
    <definedName name="Excel_BuiltIn_Print_Titles_8_1" localSheetId="3">#REF!</definedName>
    <definedName name="Excel_BuiltIn_Print_Titles_8_1" localSheetId="8">#REF!</definedName>
    <definedName name="Excel_BuiltIn_Print_Titles_8_1" localSheetId="10">#REF!</definedName>
    <definedName name="Excel_BuiltIn_Print_Titles_8_1" localSheetId="11">#REF!</definedName>
    <definedName name="Excel_BuiltIn_Print_Titles_8_1" localSheetId="13">#REF!</definedName>
    <definedName name="Excel_BuiltIn_Print_Titles_8_1" localSheetId="14">#REF!</definedName>
    <definedName name="Excel_BuiltIn_Print_Titles_8_1" localSheetId="2">#REF!</definedName>
    <definedName name="Excel_BuiltIn_Print_Titles_8_1" localSheetId="4">#REF!</definedName>
    <definedName name="Excel_BuiltIn_Print_Titles_8_1" localSheetId="6">#REF!</definedName>
    <definedName name="Excel_BuiltIn_Print_Titles_8_1" localSheetId="7">#REF!</definedName>
    <definedName name="Excel_BuiltIn_Print_Titles_8_1" localSheetId="9">#REF!</definedName>
    <definedName name="Excel_BuiltIn_Print_Titles_8_1" localSheetId="5">#REF!</definedName>
    <definedName name="Excel_BuiltIn_Print_Titles_8_1">#REF!</definedName>
    <definedName name="_xlnm.Print_Titles" localSheetId="12">'Tabela nr 1.'!$3:$3</definedName>
    <definedName name="_xlnm.Print_Titles" localSheetId="3">'Zal. nr 4'!$5:$7</definedName>
    <definedName name="_xlnm.Print_Titles" localSheetId="0">'Zał. nr 1'!$4:$5</definedName>
    <definedName name="_xlnm.Print_Titles" localSheetId="11">'Zał. nr 12 przedsięzwięcia'!$6:$6</definedName>
    <definedName name="_xlnm.Print_Titles" localSheetId="13">'Zał. nr 13'!$3:$3</definedName>
    <definedName name="_xlnm.Print_Titles" localSheetId="14">'Zał. nr 14 Odpady komunlane'!$16:$16</definedName>
    <definedName name="_xlnm.Print_Titles" localSheetId="1">'Zał. nr 2'!$3:$3</definedName>
    <definedName name="_xlnm.Print_Titles" localSheetId="4">'Zał. nr 5'!$5:$6</definedName>
    <definedName name="_xlnm.Print_Titles" localSheetId="6">'Zał. nr 7'!$6:$7</definedName>
    <definedName name="_xlnm.Print_Titles" localSheetId="7">'Zał. nr 8'!$4:$4</definedName>
    <definedName name="_xlnm.Print_Titles" localSheetId="9">'Zał.nr 10'!$12:$12</definedName>
    <definedName name="zal.3" localSheetId="13">#REF!</definedName>
    <definedName name="zal.3" localSheetId="14">#REF!</definedName>
    <definedName name="zal.3">#REF!</definedName>
  </definedNames>
  <calcPr calcId="145621" iterateDelta="1E-4"/>
</workbook>
</file>

<file path=xl/calcChain.xml><?xml version="1.0" encoding="utf-8"?>
<calcChain xmlns="http://schemas.openxmlformats.org/spreadsheetml/2006/main">
  <c r="D68" i="14" l="1"/>
  <c r="F22" i="14"/>
  <c r="E20" i="14"/>
  <c r="H27" i="13" l="1"/>
  <c r="H26" i="13"/>
  <c r="H22" i="13"/>
  <c r="H20" i="13"/>
  <c r="H18" i="13"/>
  <c r="H17" i="13"/>
  <c r="H12" i="13"/>
  <c r="H11" i="13"/>
  <c r="H9" i="13"/>
  <c r="H7" i="13"/>
  <c r="E27" i="13"/>
  <c r="E26" i="13"/>
  <c r="E25" i="13"/>
  <c r="E24" i="13"/>
  <c r="E18" i="13"/>
  <c r="E17" i="13"/>
  <c r="E15" i="13"/>
  <c r="E16" i="13"/>
  <c r="E14" i="13"/>
  <c r="E13" i="13"/>
  <c r="E7" i="13"/>
  <c r="G18" i="13"/>
  <c r="G26" i="13" s="1"/>
  <c r="D26" i="13"/>
  <c r="D24" i="13"/>
  <c r="G7" i="13"/>
  <c r="G17" i="13" s="1"/>
  <c r="D17" i="13"/>
  <c r="D27" i="13" s="1"/>
  <c r="D13" i="13"/>
  <c r="F7" i="13"/>
  <c r="G27" i="13" l="1"/>
  <c r="F114" i="10"/>
  <c r="F111" i="10"/>
  <c r="F112" i="10"/>
  <c r="F113" i="10"/>
  <c r="F110" i="10"/>
  <c r="F109" i="10"/>
  <c r="F104" i="10"/>
  <c r="F105" i="10"/>
  <c r="F106" i="10"/>
  <c r="F107" i="10"/>
  <c r="F108" i="10"/>
  <c r="F103" i="10"/>
  <c r="F102" i="10"/>
  <c r="F99" i="10"/>
  <c r="F100" i="10"/>
  <c r="F101" i="10"/>
  <c r="F98" i="10"/>
  <c r="F97" i="10"/>
  <c r="F92" i="10"/>
  <c r="F93" i="10"/>
  <c r="F94" i="10"/>
  <c r="F95" i="10"/>
  <c r="F96" i="10"/>
  <c r="F91" i="10"/>
  <c r="F90" i="10"/>
  <c r="F84" i="10"/>
  <c r="F85" i="10"/>
  <c r="F86" i="10"/>
  <c r="F87" i="10"/>
  <c r="F88" i="10"/>
  <c r="F89" i="10"/>
  <c r="F83" i="10"/>
  <c r="F82" i="10"/>
  <c r="F81" i="10"/>
  <c r="F72" i="10"/>
  <c r="F73" i="10"/>
  <c r="F74" i="10"/>
  <c r="F75" i="10"/>
  <c r="F76" i="10"/>
  <c r="F77" i="10"/>
  <c r="F79" i="10"/>
  <c r="F80" i="10"/>
  <c r="F71" i="10"/>
  <c r="F70" i="10"/>
  <c r="F67" i="10"/>
  <c r="F68" i="10"/>
  <c r="F69" i="10"/>
  <c r="F66" i="10"/>
  <c r="F65" i="10"/>
  <c r="F62" i="10"/>
  <c r="F63" i="10"/>
  <c r="F64" i="10"/>
  <c r="F61" i="10"/>
  <c r="F60" i="10"/>
  <c r="F55" i="10"/>
  <c r="F56" i="10"/>
  <c r="F57" i="10"/>
  <c r="F58" i="10"/>
  <c r="F59" i="10"/>
  <c r="F54" i="10"/>
  <c r="F53" i="10"/>
  <c r="F52" i="10"/>
  <c r="F51" i="10"/>
  <c r="F50" i="10"/>
  <c r="F49" i="10"/>
  <c r="F46" i="10"/>
  <c r="F47" i="10"/>
  <c r="F48" i="10"/>
  <c r="F45" i="10"/>
  <c r="F44" i="10"/>
  <c r="F41" i="10"/>
  <c r="F42" i="10"/>
  <c r="F43" i="10"/>
  <c r="F40" i="10"/>
  <c r="F39" i="10"/>
  <c r="F31" i="10"/>
  <c r="F32" i="10"/>
  <c r="F33" i="10"/>
  <c r="F34" i="10"/>
  <c r="F35" i="10"/>
  <c r="F36" i="10"/>
  <c r="F37" i="10"/>
  <c r="F38" i="10"/>
  <c r="F30" i="10"/>
  <c r="F29" i="10"/>
  <c r="F25" i="10"/>
  <c r="F26" i="10"/>
  <c r="F27" i="10"/>
  <c r="F28" i="10"/>
  <c r="F24" i="10"/>
  <c r="F23" i="10"/>
  <c r="F19" i="10"/>
  <c r="F20" i="10"/>
  <c r="F21" i="10"/>
  <c r="F22" i="10"/>
  <c r="F18" i="10"/>
  <c r="F17" i="10"/>
  <c r="F16" i="10"/>
  <c r="F12" i="10"/>
  <c r="F13" i="10"/>
  <c r="F14" i="10"/>
  <c r="F15" i="10"/>
  <c r="F11" i="10"/>
  <c r="F10" i="10"/>
  <c r="F8" i="10"/>
  <c r="F6" i="10"/>
  <c r="F5" i="10"/>
  <c r="F4" i="10"/>
  <c r="E8" i="10"/>
  <c r="I203" i="15" l="1"/>
  <c r="F203" i="15"/>
  <c r="G203" i="15"/>
  <c r="H203" i="15"/>
  <c r="J203" i="15"/>
  <c r="E203" i="15"/>
  <c r="J121" i="15"/>
  <c r="F121" i="15"/>
  <c r="G121" i="15"/>
  <c r="H121" i="15"/>
  <c r="E121" i="15"/>
  <c r="E638" i="2"/>
  <c r="I638" i="2" l="1"/>
  <c r="F638" i="2"/>
  <c r="G638" i="2"/>
  <c r="H638" i="2"/>
  <c r="J638" i="2"/>
  <c r="K151" i="1" l="1"/>
  <c r="L151" i="1"/>
  <c r="L207" i="1"/>
  <c r="K207" i="1"/>
  <c r="J207" i="1"/>
  <c r="H207" i="1"/>
  <c r="F242" i="1"/>
  <c r="G242" i="1"/>
  <c r="H242" i="1"/>
  <c r="I242" i="1" s="1"/>
  <c r="J242" i="1"/>
  <c r="K242" i="1"/>
  <c r="L242" i="1"/>
  <c r="E242" i="1"/>
  <c r="F231" i="1"/>
  <c r="G231" i="1"/>
  <c r="E231" i="1"/>
  <c r="L148" i="1"/>
  <c r="K148" i="1"/>
  <c r="J148" i="1"/>
  <c r="H148" i="1"/>
  <c r="G148" i="1"/>
  <c r="F148" i="1"/>
  <c r="E148" i="1"/>
  <c r="L149" i="1"/>
  <c r="K149" i="1"/>
  <c r="J149" i="1"/>
  <c r="H149" i="1"/>
  <c r="G149" i="1"/>
  <c r="F149" i="1"/>
  <c r="E149" i="1"/>
  <c r="K227" i="1"/>
  <c r="L227" i="1"/>
  <c r="J227" i="1"/>
  <c r="H227" i="1"/>
  <c r="G227" i="1"/>
  <c r="F227" i="1"/>
  <c r="E227" i="1"/>
  <c r="K87" i="1"/>
  <c r="L87" i="1"/>
  <c r="J87" i="1"/>
  <c r="H87" i="1"/>
  <c r="G87" i="1"/>
  <c r="E87" i="1"/>
  <c r="J50" i="1"/>
  <c r="G116" i="4" l="1"/>
  <c r="F116" i="4"/>
  <c r="E116" i="4"/>
  <c r="F229" i="1" l="1"/>
  <c r="F228" i="1"/>
  <c r="J5" i="15" l="1"/>
  <c r="J4" i="15" s="1"/>
  <c r="G5" i="15"/>
  <c r="G4" i="15" s="1"/>
  <c r="H5" i="15"/>
  <c r="H4" i="15" s="1"/>
  <c r="E5" i="15"/>
  <c r="E4" i="15" s="1"/>
  <c r="J10" i="15"/>
  <c r="J9" i="15" s="1"/>
  <c r="G10" i="15"/>
  <c r="H10" i="15"/>
  <c r="E10" i="15"/>
  <c r="E9" i="15" s="1"/>
  <c r="J14" i="15"/>
  <c r="J13" i="15" s="1"/>
  <c r="G14" i="15"/>
  <c r="G13" i="15" s="1"/>
  <c r="H14" i="15"/>
  <c r="H13" i="15" s="1"/>
  <c r="E14" i="15"/>
  <c r="E13" i="15" s="1"/>
  <c r="J17" i="15"/>
  <c r="G17" i="15"/>
  <c r="H17" i="15"/>
  <c r="E17" i="15"/>
  <c r="J21" i="15"/>
  <c r="G21" i="15"/>
  <c r="H21" i="15"/>
  <c r="E21" i="15"/>
  <c r="J33" i="15"/>
  <c r="G33" i="15"/>
  <c r="H33" i="15"/>
  <c r="E33" i="15"/>
  <c r="J35" i="15"/>
  <c r="G35" i="15"/>
  <c r="H35" i="15"/>
  <c r="E35" i="15"/>
  <c r="J41" i="15"/>
  <c r="G41" i="15"/>
  <c r="H41" i="15"/>
  <c r="E41" i="15"/>
  <c r="J49" i="15"/>
  <c r="J48" i="15" s="1"/>
  <c r="G49" i="15"/>
  <c r="G48" i="15" s="1"/>
  <c r="H49" i="15"/>
  <c r="H48" i="15" s="1"/>
  <c r="E49" i="15"/>
  <c r="E48" i="15" s="1"/>
  <c r="J54" i="15"/>
  <c r="G54" i="15"/>
  <c r="H54" i="15"/>
  <c r="E54" i="15"/>
  <c r="J60" i="15"/>
  <c r="G60" i="15"/>
  <c r="H60" i="15"/>
  <c r="E60" i="15"/>
  <c r="J66" i="15"/>
  <c r="G66" i="15"/>
  <c r="H66" i="15"/>
  <c r="E66" i="15"/>
  <c r="J72" i="15"/>
  <c r="G72" i="15"/>
  <c r="H72" i="15"/>
  <c r="E72" i="15"/>
  <c r="J78" i="15"/>
  <c r="G78" i="15"/>
  <c r="H78" i="15"/>
  <c r="E78" i="15"/>
  <c r="J80" i="15"/>
  <c r="G80" i="15"/>
  <c r="H80" i="15"/>
  <c r="E80" i="15"/>
  <c r="J86" i="15"/>
  <c r="G86" i="15"/>
  <c r="H86" i="15"/>
  <c r="E86" i="15"/>
  <c r="J91" i="15"/>
  <c r="G91" i="15"/>
  <c r="H91" i="15"/>
  <c r="E91" i="15"/>
  <c r="J96" i="15"/>
  <c r="G96" i="15"/>
  <c r="H96" i="15"/>
  <c r="E96" i="15"/>
  <c r="J104" i="15"/>
  <c r="G104" i="15"/>
  <c r="H104" i="15"/>
  <c r="E104" i="15"/>
  <c r="J106" i="15"/>
  <c r="G106" i="15"/>
  <c r="H106" i="15"/>
  <c r="E106" i="15"/>
  <c r="J111" i="15"/>
  <c r="G111" i="15"/>
  <c r="H111" i="15"/>
  <c r="E111" i="15"/>
  <c r="J117" i="15"/>
  <c r="G117" i="15"/>
  <c r="H117" i="15"/>
  <c r="E117" i="15"/>
  <c r="J120" i="15"/>
  <c r="G120" i="15"/>
  <c r="H120" i="15"/>
  <c r="E120" i="15"/>
  <c r="J130" i="15"/>
  <c r="G130" i="15"/>
  <c r="H130" i="15"/>
  <c r="E130" i="15"/>
  <c r="J136" i="15"/>
  <c r="G136" i="15"/>
  <c r="H136" i="15"/>
  <c r="E136" i="15"/>
  <c r="J142" i="15"/>
  <c r="G142" i="15"/>
  <c r="H142" i="15"/>
  <c r="E142" i="15"/>
  <c r="G156" i="15"/>
  <c r="H156" i="15"/>
  <c r="H199" i="15" s="1"/>
  <c r="J151" i="15"/>
  <c r="G151" i="15"/>
  <c r="H151" i="15"/>
  <c r="E151" i="15"/>
  <c r="J156" i="15"/>
  <c r="E156" i="15"/>
  <c r="J161" i="15"/>
  <c r="J160" i="15" s="1"/>
  <c r="G161" i="15"/>
  <c r="H161" i="15"/>
  <c r="E161" i="15"/>
  <c r="J163" i="15"/>
  <c r="G163" i="15"/>
  <c r="G201" i="15" s="1"/>
  <c r="H163" i="15"/>
  <c r="E163" i="15"/>
  <c r="J168" i="15"/>
  <c r="G168" i="15"/>
  <c r="H168" i="15"/>
  <c r="E168" i="15"/>
  <c r="J170" i="15"/>
  <c r="G170" i="15"/>
  <c r="H170" i="15"/>
  <c r="E170" i="15"/>
  <c r="J174" i="15"/>
  <c r="G174" i="15"/>
  <c r="H174" i="15"/>
  <c r="E174" i="15"/>
  <c r="J179" i="15"/>
  <c r="G179" i="15"/>
  <c r="H179" i="15"/>
  <c r="E179" i="15"/>
  <c r="J181" i="15"/>
  <c r="G181" i="15"/>
  <c r="H181" i="15"/>
  <c r="E181" i="15"/>
  <c r="J185" i="15"/>
  <c r="G185" i="15"/>
  <c r="H185" i="15"/>
  <c r="E185" i="15"/>
  <c r="J188" i="15"/>
  <c r="G188" i="15"/>
  <c r="H188" i="15"/>
  <c r="E188" i="15"/>
  <c r="J192" i="15"/>
  <c r="J202" i="15" s="1"/>
  <c r="H192" i="15"/>
  <c r="H202" i="15" s="1"/>
  <c r="G192" i="15"/>
  <c r="E192" i="15"/>
  <c r="E202" i="15" s="1"/>
  <c r="J197" i="15"/>
  <c r="H197" i="15"/>
  <c r="G197" i="15"/>
  <c r="E197" i="15"/>
  <c r="I194" i="15"/>
  <c r="F194" i="15"/>
  <c r="I193" i="15"/>
  <c r="F193" i="15"/>
  <c r="I191" i="15"/>
  <c r="F191" i="15"/>
  <c r="I190" i="15"/>
  <c r="F190" i="15"/>
  <c r="I189" i="15"/>
  <c r="F189" i="15"/>
  <c r="I186" i="15"/>
  <c r="F186" i="15"/>
  <c r="F185" i="15" s="1"/>
  <c r="I184" i="15"/>
  <c r="F184" i="15"/>
  <c r="I183" i="15"/>
  <c r="F183" i="15"/>
  <c r="I182" i="15"/>
  <c r="F182" i="15"/>
  <c r="I180" i="15"/>
  <c r="F180" i="15"/>
  <c r="F179" i="15" s="1"/>
  <c r="I177" i="15"/>
  <c r="F177" i="15"/>
  <c r="I176" i="15"/>
  <c r="F176" i="15"/>
  <c r="I175" i="15"/>
  <c r="F175" i="15"/>
  <c r="I173" i="15"/>
  <c r="F173" i="15"/>
  <c r="I172" i="15"/>
  <c r="F172" i="15"/>
  <c r="I171" i="15"/>
  <c r="F171" i="15"/>
  <c r="I169" i="15"/>
  <c r="F169" i="15"/>
  <c r="F168" i="15" s="1"/>
  <c r="I167" i="15"/>
  <c r="F167" i="15"/>
  <c r="I166" i="15"/>
  <c r="F166" i="15"/>
  <c r="I165" i="15"/>
  <c r="F165" i="15"/>
  <c r="I164" i="15"/>
  <c r="F164" i="15"/>
  <c r="I162" i="15"/>
  <c r="F162" i="15"/>
  <c r="F161" i="15" s="1"/>
  <c r="F159" i="15"/>
  <c r="F158" i="15"/>
  <c r="F157" i="15"/>
  <c r="I155" i="15"/>
  <c r="F155" i="15"/>
  <c r="I154" i="15"/>
  <c r="F154" i="15"/>
  <c r="I153" i="15"/>
  <c r="F153" i="15"/>
  <c r="I152" i="15"/>
  <c r="F152" i="15"/>
  <c r="I150" i="15"/>
  <c r="F150" i="15"/>
  <c r="I149" i="15"/>
  <c r="F149" i="15"/>
  <c r="I148" i="15"/>
  <c r="F148" i="15"/>
  <c r="J147" i="15"/>
  <c r="H147" i="15"/>
  <c r="G147" i="15"/>
  <c r="E147" i="15"/>
  <c r="I146" i="15"/>
  <c r="F146" i="15"/>
  <c r="I145" i="15"/>
  <c r="F145" i="15"/>
  <c r="I144" i="15"/>
  <c r="F144" i="15"/>
  <c r="I143" i="15"/>
  <c r="F143" i="15"/>
  <c r="I141" i="15"/>
  <c r="F141" i="15"/>
  <c r="I140" i="15"/>
  <c r="F140" i="15"/>
  <c r="I139" i="15"/>
  <c r="F139" i="15"/>
  <c r="I138" i="15"/>
  <c r="F138" i="15"/>
  <c r="I137" i="15"/>
  <c r="F137" i="15"/>
  <c r="I134" i="15"/>
  <c r="F134" i="15"/>
  <c r="I133" i="15"/>
  <c r="F133" i="15"/>
  <c r="I132" i="15"/>
  <c r="F132" i="15"/>
  <c r="I131" i="15"/>
  <c r="F131" i="15"/>
  <c r="I128" i="15"/>
  <c r="F128" i="15"/>
  <c r="I127" i="15"/>
  <c r="F127" i="15"/>
  <c r="I126" i="15"/>
  <c r="F126" i="15"/>
  <c r="I125" i="15"/>
  <c r="F125" i="15"/>
  <c r="I124" i="15"/>
  <c r="F124" i="15"/>
  <c r="I123" i="15"/>
  <c r="F123" i="15"/>
  <c r="I122" i="15"/>
  <c r="F122" i="15"/>
  <c r="F119" i="15"/>
  <c r="F118" i="15"/>
  <c r="I116" i="15"/>
  <c r="F116" i="15"/>
  <c r="I115" i="15"/>
  <c r="F115" i="15"/>
  <c r="I114" i="15"/>
  <c r="F114" i="15"/>
  <c r="I113" i="15"/>
  <c r="F113" i="15"/>
  <c r="I112" i="15"/>
  <c r="F112" i="15"/>
  <c r="I109" i="15"/>
  <c r="F109" i="15"/>
  <c r="I108" i="15"/>
  <c r="F108" i="15"/>
  <c r="I107" i="15"/>
  <c r="F107" i="15"/>
  <c r="I105" i="15"/>
  <c r="F105" i="15"/>
  <c r="F104" i="15" s="1"/>
  <c r="I102" i="15"/>
  <c r="F102" i="15"/>
  <c r="I101" i="15"/>
  <c r="F101" i="15"/>
  <c r="I100" i="15"/>
  <c r="F100" i="15"/>
  <c r="I99" i="15"/>
  <c r="F99" i="15"/>
  <c r="I98" i="15"/>
  <c r="F98" i="15"/>
  <c r="I97" i="15"/>
  <c r="F97" i="15"/>
  <c r="I95" i="15"/>
  <c r="F95" i="15"/>
  <c r="I94" i="15"/>
  <c r="F94" i="15"/>
  <c r="I93" i="15"/>
  <c r="F93" i="15"/>
  <c r="I92" i="15"/>
  <c r="F92" i="15"/>
  <c r="I90" i="15"/>
  <c r="F90" i="15"/>
  <c r="I89" i="15"/>
  <c r="F89" i="15"/>
  <c r="I88" i="15"/>
  <c r="F88" i="15"/>
  <c r="I87" i="15"/>
  <c r="F87" i="15"/>
  <c r="I85" i="15"/>
  <c r="F85" i="15"/>
  <c r="I84" i="15"/>
  <c r="F84" i="15"/>
  <c r="I83" i="15"/>
  <c r="F83" i="15"/>
  <c r="I82" i="15"/>
  <c r="F82" i="15"/>
  <c r="I81" i="15"/>
  <c r="F81" i="15"/>
  <c r="F79" i="15"/>
  <c r="F78" i="15" s="1"/>
  <c r="I77" i="15"/>
  <c r="F77" i="15"/>
  <c r="I76" i="15"/>
  <c r="F76" i="15"/>
  <c r="I75" i="15"/>
  <c r="F75" i="15"/>
  <c r="I74" i="15"/>
  <c r="F74" i="15"/>
  <c r="I73" i="15"/>
  <c r="F73" i="15"/>
  <c r="I71" i="15"/>
  <c r="F71" i="15"/>
  <c r="I70" i="15"/>
  <c r="F70" i="15"/>
  <c r="I69" i="15"/>
  <c r="F69" i="15"/>
  <c r="I68" i="15"/>
  <c r="F68" i="15"/>
  <c r="I67" i="15"/>
  <c r="F67" i="15"/>
  <c r="I65" i="15"/>
  <c r="F65" i="15"/>
  <c r="I64" i="15"/>
  <c r="F64" i="15"/>
  <c r="I63" i="15"/>
  <c r="F63" i="15"/>
  <c r="I62" i="15"/>
  <c r="F62" i="15"/>
  <c r="I61" i="15"/>
  <c r="F61" i="15"/>
  <c r="I59" i="15"/>
  <c r="F59" i="15"/>
  <c r="I58" i="15"/>
  <c r="F58" i="15"/>
  <c r="I57" i="15"/>
  <c r="F57" i="15"/>
  <c r="I56" i="15"/>
  <c r="F56" i="15"/>
  <c r="I55" i="15"/>
  <c r="F55" i="15"/>
  <c r="I52" i="15"/>
  <c r="F52" i="15"/>
  <c r="I51" i="15"/>
  <c r="F51" i="15"/>
  <c r="I50" i="15"/>
  <c r="F50" i="15"/>
  <c r="I47" i="15"/>
  <c r="F47" i="15"/>
  <c r="I46" i="15"/>
  <c r="F46" i="15"/>
  <c r="I45" i="15"/>
  <c r="F45" i="15"/>
  <c r="J44" i="15"/>
  <c r="J43" i="15" s="1"/>
  <c r="H44" i="15"/>
  <c r="H43" i="15" s="1"/>
  <c r="G44" i="15"/>
  <c r="G43" i="15" s="1"/>
  <c r="E44" i="15"/>
  <c r="E43" i="15" s="1"/>
  <c r="I42" i="15"/>
  <c r="F42" i="15"/>
  <c r="F41" i="15" s="1"/>
  <c r="I40" i="15"/>
  <c r="F40" i="15"/>
  <c r="I39" i="15"/>
  <c r="F39" i="15"/>
  <c r="I38" i="15"/>
  <c r="F38" i="15"/>
  <c r="I37" i="15"/>
  <c r="F37" i="15"/>
  <c r="I36" i="15"/>
  <c r="F36" i="15"/>
  <c r="I34" i="15"/>
  <c r="F34" i="15"/>
  <c r="F33" i="15" s="1"/>
  <c r="I32" i="15"/>
  <c r="F32" i="15"/>
  <c r="I31" i="15"/>
  <c r="F31" i="15"/>
  <c r="I30" i="15"/>
  <c r="F30" i="15"/>
  <c r="I29" i="15"/>
  <c r="F29" i="15"/>
  <c r="I28" i="15"/>
  <c r="F28" i="15"/>
  <c r="I27" i="15"/>
  <c r="F27" i="15"/>
  <c r="I26" i="15"/>
  <c r="F26" i="15"/>
  <c r="I25" i="15"/>
  <c r="F25" i="15"/>
  <c r="I24" i="15"/>
  <c r="F24" i="15"/>
  <c r="I23" i="15"/>
  <c r="F23" i="15"/>
  <c r="I22" i="15"/>
  <c r="F22" i="15"/>
  <c r="I20" i="15"/>
  <c r="F20" i="15"/>
  <c r="I19" i="15"/>
  <c r="F19" i="15"/>
  <c r="I18" i="15"/>
  <c r="F18" i="15"/>
  <c r="I15" i="15"/>
  <c r="F15" i="15"/>
  <c r="F14" i="15" s="1"/>
  <c r="F13" i="15" s="1"/>
  <c r="I12" i="15"/>
  <c r="F12" i="15"/>
  <c r="I11" i="15"/>
  <c r="F11" i="15"/>
  <c r="H9" i="15"/>
  <c r="G9" i="15"/>
  <c r="I8" i="15"/>
  <c r="F8" i="15"/>
  <c r="I7" i="15"/>
  <c r="F7" i="15"/>
  <c r="I6" i="15"/>
  <c r="F6" i="15"/>
  <c r="J201" i="15" l="1"/>
  <c r="G199" i="15"/>
  <c r="I199" i="15" s="1"/>
  <c r="J129" i="15"/>
  <c r="J200" i="15"/>
  <c r="G129" i="15"/>
  <c r="G200" i="15"/>
  <c r="E201" i="15"/>
  <c r="E199" i="15"/>
  <c r="E129" i="15"/>
  <c r="E200" i="15"/>
  <c r="G202" i="15"/>
  <c r="I202" i="15" s="1"/>
  <c r="H201" i="15"/>
  <c r="I201" i="15" s="1"/>
  <c r="J199" i="15"/>
  <c r="H129" i="15"/>
  <c r="H200" i="15"/>
  <c r="F86" i="15"/>
  <c r="F91" i="15"/>
  <c r="F96" i="15"/>
  <c r="F120" i="15"/>
  <c r="F130" i="15"/>
  <c r="F136" i="15"/>
  <c r="F142" i="15"/>
  <c r="F151" i="15"/>
  <c r="F156" i="15"/>
  <c r="F111" i="15"/>
  <c r="F49" i="15"/>
  <c r="F48" i="15" s="1"/>
  <c r="F60" i="15"/>
  <c r="F72" i="15"/>
  <c r="G160" i="15"/>
  <c r="J178" i="15"/>
  <c r="J16" i="15"/>
  <c r="F66" i="15"/>
  <c r="H16" i="15"/>
  <c r="F5" i="15"/>
  <c r="F4" i="15" s="1"/>
  <c r="F10" i="15"/>
  <c r="G110" i="15"/>
  <c r="G103" i="15"/>
  <c r="G16" i="15"/>
  <c r="H135" i="15"/>
  <c r="J103" i="15"/>
  <c r="H53" i="15"/>
  <c r="F21" i="15"/>
  <c r="F163" i="15"/>
  <c r="F174" i="15"/>
  <c r="F181" i="15"/>
  <c r="F178" i="15" s="1"/>
  <c r="F188" i="15"/>
  <c r="E103" i="15"/>
  <c r="J53" i="15"/>
  <c r="G53" i="15"/>
  <c r="E16" i="15"/>
  <c r="F17" i="15"/>
  <c r="E178" i="15"/>
  <c r="F35" i="15"/>
  <c r="F54" i="15"/>
  <c r="F80" i="15"/>
  <c r="F106" i="15"/>
  <c r="F103" i="15" s="1"/>
  <c r="F117" i="15"/>
  <c r="H110" i="15"/>
  <c r="H103" i="15"/>
  <c r="E53" i="15"/>
  <c r="J135" i="15"/>
  <c r="F170" i="15"/>
  <c r="F192" i="15"/>
  <c r="E160" i="15"/>
  <c r="G135" i="15"/>
  <c r="E110" i="15"/>
  <c r="H178" i="15"/>
  <c r="E135" i="15"/>
  <c r="H160" i="15"/>
  <c r="G178" i="15"/>
  <c r="J110" i="15"/>
  <c r="I5" i="15"/>
  <c r="F9" i="15"/>
  <c r="I13" i="15"/>
  <c r="I179" i="15"/>
  <c r="F147" i="15"/>
  <c r="I147" i="15"/>
  <c r="I91" i="15"/>
  <c r="I170" i="15"/>
  <c r="I174" i="15"/>
  <c r="I192" i="15"/>
  <c r="F44" i="15"/>
  <c r="F43" i="15" s="1"/>
  <c r="I168" i="15"/>
  <c r="I163" i="15"/>
  <c r="I49" i="15"/>
  <c r="I72" i="15"/>
  <c r="I197" i="15"/>
  <c r="J187" i="15"/>
  <c r="I17" i="15"/>
  <c r="I121" i="15"/>
  <c r="G187" i="15"/>
  <c r="I66" i="15"/>
  <c r="I86" i="15"/>
  <c r="I111" i="15"/>
  <c r="E187" i="15"/>
  <c r="I9" i="15"/>
  <c r="I96" i="15"/>
  <c r="I104" i="15"/>
  <c r="I33" i="15"/>
  <c r="I44" i="15"/>
  <c r="I41" i="15"/>
  <c r="I60" i="15"/>
  <c r="I80" i="15"/>
  <c r="I130" i="15"/>
  <c r="I181" i="15"/>
  <c r="I185" i="15"/>
  <c r="I43" i="15"/>
  <c r="I106" i="15"/>
  <c r="I136" i="15"/>
  <c r="I142" i="15"/>
  <c r="I151" i="15"/>
  <c r="I54" i="15"/>
  <c r="I161" i="15"/>
  <c r="H187" i="15"/>
  <c r="I188" i="15"/>
  <c r="F197" i="15"/>
  <c r="I14" i="15"/>
  <c r="I35" i="15"/>
  <c r="I10" i="15"/>
  <c r="I21" i="15"/>
  <c r="J596" i="2"/>
  <c r="J42" i="2"/>
  <c r="F110" i="15" l="1"/>
  <c r="F199" i="15"/>
  <c r="F202" i="15"/>
  <c r="F201" i="15"/>
  <c r="F129" i="15"/>
  <c r="F200" i="15"/>
  <c r="I200" i="15"/>
  <c r="F135" i="15"/>
  <c r="F53" i="15"/>
  <c r="G195" i="15"/>
  <c r="H195" i="15"/>
  <c r="E195" i="15"/>
  <c r="J195" i="15"/>
  <c r="F160" i="15"/>
  <c r="F16" i="15"/>
  <c r="I135" i="15"/>
  <c r="I120" i="15"/>
  <c r="I103" i="15"/>
  <c r="I129" i="15"/>
  <c r="I160" i="15"/>
  <c r="I178" i="15"/>
  <c r="I16" i="15"/>
  <c r="I48" i="15"/>
  <c r="F187" i="15"/>
  <c r="I110" i="15"/>
  <c r="I53" i="15"/>
  <c r="I4" i="15"/>
  <c r="I187" i="15"/>
  <c r="F195" i="15" l="1"/>
  <c r="I195" i="15"/>
  <c r="H120" i="1"/>
  <c r="G126" i="6" l="1"/>
  <c r="G120" i="6"/>
  <c r="F127" i="6"/>
  <c r="E127" i="6"/>
  <c r="F122" i="6"/>
  <c r="E122" i="6"/>
  <c r="F116" i="6"/>
  <c r="E116" i="6"/>
  <c r="E115" i="6" s="1"/>
  <c r="F121" i="6" l="1"/>
  <c r="E121" i="6"/>
  <c r="F115" i="6"/>
  <c r="I250" i="1"/>
  <c r="I246" i="1"/>
  <c r="I248" i="1"/>
  <c r="I245" i="1"/>
  <c r="I243" i="1"/>
  <c r="I241" i="1"/>
  <c r="I238" i="1"/>
  <c r="G237" i="1"/>
  <c r="H237" i="1"/>
  <c r="I237" i="1" s="1"/>
  <c r="J237" i="1"/>
  <c r="K237" i="1"/>
  <c r="L237" i="1"/>
  <c r="E237" i="1"/>
  <c r="E233" i="1" s="1"/>
  <c r="G245" i="1"/>
  <c r="H245" i="1"/>
  <c r="J245" i="1"/>
  <c r="K245" i="1"/>
  <c r="L245" i="1"/>
  <c r="E245" i="1"/>
  <c r="E243" i="1" s="1"/>
  <c r="G233" i="1"/>
  <c r="G241" i="1"/>
  <c r="H241" i="1"/>
  <c r="J241" i="1"/>
  <c r="K241" i="1"/>
  <c r="L241" i="1"/>
  <c r="E241" i="1"/>
  <c r="G239" i="1"/>
  <c r="H239" i="1"/>
  <c r="J239" i="1"/>
  <c r="K239" i="1"/>
  <c r="L239" i="1"/>
  <c r="E239" i="1"/>
  <c r="F238" i="1"/>
  <c r="G238" i="1"/>
  <c r="H238" i="1"/>
  <c r="J238" i="1"/>
  <c r="K238" i="1"/>
  <c r="L238" i="1"/>
  <c r="E238" i="1"/>
  <c r="F236" i="1"/>
  <c r="G236" i="1"/>
  <c r="H236" i="1"/>
  <c r="I236" i="1" s="1"/>
  <c r="J236" i="1"/>
  <c r="K236" i="1"/>
  <c r="L236" i="1"/>
  <c r="E236" i="1"/>
  <c r="F235" i="1"/>
  <c r="G235" i="1"/>
  <c r="H235" i="1"/>
  <c r="I235" i="1" s="1"/>
  <c r="J235" i="1"/>
  <c r="K235" i="1"/>
  <c r="L235" i="1"/>
  <c r="E235" i="1"/>
  <c r="G250" i="1"/>
  <c r="H250" i="1"/>
  <c r="J250" i="1"/>
  <c r="K250" i="1"/>
  <c r="L250" i="1"/>
  <c r="E250" i="1"/>
  <c r="G248" i="1"/>
  <c r="H248" i="1"/>
  <c r="J248" i="1"/>
  <c r="K248" i="1"/>
  <c r="L248" i="1"/>
  <c r="E248" i="1"/>
  <c r="F247" i="1"/>
  <c r="G247" i="1"/>
  <c r="H247" i="1"/>
  <c r="J247" i="1"/>
  <c r="K247" i="1"/>
  <c r="L247" i="1"/>
  <c r="E247" i="1"/>
  <c r="G246" i="1"/>
  <c r="H246" i="1"/>
  <c r="H243" i="1" s="1"/>
  <c r="J246" i="1"/>
  <c r="K246" i="1"/>
  <c r="E246" i="1"/>
  <c r="H233" i="1" l="1"/>
  <c r="I233" i="1" s="1"/>
  <c r="L243" i="1"/>
  <c r="K243" i="1"/>
  <c r="J243" i="1"/>
  <c r="L233" i="1"/>
  <c r="J233" i="1"/>
  <c r="K233" i="1"/>
  <c r="G121" i="6"/>
  <c r="I239" i="1"/>
  <c r="G243" i="1"/>
  <c r="I9" i="1"/>
  <c r="I10" i="1"/>
  <c r="I12" i="1"/>
  <c r="I13" i="1"/>
  <c r="I14" i="1"/>
  <c r="I15" i="1"/>
  <c r="I16" i="1"/>
  <c r="I19" i="1"/>
  <c r="I20" i="1"/>
  <c r="I24" i="1"/>
  <c r="I25" i="1"/>
  <c r="I26" i="1"/>
  <c r="I27" i="1"/>
  <c r="I29" i="1"/>
  <c r="I30" i="1"/>
  <c r="I31" i="1"/>
  <c r="I34" i="1"/>
  <c r="I35" i="1"/>
  <c r="I36" i="1"/>
  <c r="I37" i="1"/>
  <c r="I38" i="1"/>
  <c r="I39" i="1"/>
  <c r="I40" i="1"/>
  <c r="I42" i="1"/>
  <c r="I43" i="1"/>
  <c r="I45" i="1"/>
  <c r="I46" i="1"/>
  <c r="I49" i="1"/>
  <c r="I53" i="1"/>
  <c r="I55" i="1"/>
  <c r="I56" i="1"/>
  <c r="I57" i="1"/>
  <c r="I58" i="1"/>
  <c r="I59" i="1"/>
  <c r="I60" i="1"/>
  <c r="I61" i="1"/>
  <c r="I65" i="1"/>
  <c r="I67" i="1"/>
  <c r="I68" i="1"/>
  <c r="I69" i="1"/>
  <c r="I70" i="1"/>
  <c r="I71" i="1"/>
  <c r="I72" i="1"/>
  <c r="I74" i="1"/>
  <c r="I75" i="1"/>
  <c r="I77" i="1"/>
  <c r="I78" i="1"/>
  <c r="I79" i="1"/>
  <c r="I80" i="1"/>
  <c r="I81" i="1"/>
  <c r="I82" i="1"/>
  <c r="I83" i="1"/>
  <c r="I84" i="1"/>
  <c r="I86" i="1"/>
  <c r="I87" i="1"/>
  <c r="I88" i="1"/>
  <c r="I89" i="1"/>
  <c r="I90" i="1"/>
  <c r="I94" i="1"/>
  <c r="I95" i="1"/>
  <c r="I97" i="1"/>
  <c r="I98" i="1"/>
  <c r="I99" i="1"/>
  <c r="I100" i="1"/>
  <c r="I105" i="1"/>
  <c r="I107" i="1"/>
  <c r="I108" i="1"/>
  <c r="I109" i="1"/>
  <c r="I111" i="1"/>
  <c r="I112" i="1"/>
  <c r="I117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4" i="1"/>
  <c r="I135" i="1"/>
  <c r="I136" i="1"/>
  <c r="I137" i="1"/>
  <c r="I138" i="1"/>
  <c r="I139" i="1"/>
  <c r="I140" i="1"/>
  <c r="I142" i="1"/>
  <c r="I143" i="1"/>
  <c r="I144" i="1"/>
  <c r="I145" i="1"/>
  <c r="I146" i="1"/>
  <c r="I147" i="1"/>
  <c r="I151" i="1"/>
  <c r="I152" i="1"/>
  <c r="I153" i="1"/>
  <c r="I154" i="1"/>
  <c r="I155" i="1"/>
  <c r="I157" i="1"/>
  <c r="I158" i="1"/>
  <c r="I159" i="1"/>
  <c r="I160" i="1"/>
  <c r="I161" i="1"/>
  <c r="I162" i="1"/>
  <c r="I163" i="1"/>
  <c r="I164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1" i="1"/>
  <c r="I193" i="1"/>
  <c r="I194" i="1"/>
  <c r="I195" i="1"/>
  <c r="I196" i="1"/>
  <c r="I198" i="1"/>
  <c r="I199" i="1"/>
  <c r="I201" i="1"/>
  <c r="I202" i="1"/>
  <c r="I203" i="1"/>
  <c r="I208" i="1"/>
  <c r="I209" i="1"/>
  <c r="I213" i="1"/>
  <c r="I215" i="1"/>
  <c r="I216" i="1"/>
  <c r="I217" i="1"/>
  <c r="I219" i="1"/>
  <c r="I220" i="1"/>
  <c r="I222" i="1"/>
  <c r="I225" i="1"/>
  <c r="I226" i="1"/>
  <c r="I227" i="1"/>
  <c r="I228" i="1"/>
  <c r="I229" i="1"/>
  <c r="I8" i="1"/>
  <c r="I7" i="1"/>
  <c r="I6" i="1"/>
  <c r="I633" i="2"/>
  <c r="I634" i="2"/>
  <c r="I635" i="2"/>
  <c r="I636" i="2"/>
  <c r="I639" i="2"/>
  <c r="I641" i="2"/>
  <c r="I642" i="2"/>
  <c r="I643" i="2"/>
  <c r="G628" i="2"/>
  <c r="E628" i="2"/>
  <c r="G629" i="2"/>
  <c r="E629" i="2"/>
  <c r="G631" i="2"/>
  <c r="H631" i="2"/>
  <c r="I631" i="2" s="1"/>
  <c r="J631" i="2"/>
  <c r="E631" i="2"/>
  <c r="G632" i="2"/>
  <c r="H632" i="2"/>
  <c r="H629" i="2" s="1"/>
  <c r="J632" i="2"/>
  <c r="E632" i="2"/>
  <c r="G633" i="2"/>
  <c r="H633" i="2"/>
  <c r="J633" i="2"/>
  <c r="E633" i="2"/>
  <c r="H634" i="2"/>
  <c r="G634" i="2"/>
  <c r="J634" i="2"/>
  <c r="E634" i="2"/>
  <c r="G636" i="2"/>
  <c r="H636" i="2"/>
  <c r="J636" i="2"/>
  <c r="E636" i="2"/>
  <c r="F635" i="2"/>
  <c r="G635" i="2"/>
  <c r="H635" i="2"/>
  <c r="J635" i="2"/>
  <c r="E635" i="2"/>
  <c r="G639" i="2"/>
  <c r="H639" i="2"/>
  <c r="E639" i="2"/>
  <c r="G641" i="2"/>
  <c r="H641" i="2"/>
  <c r="J641" i="2"/>
  <c r="E641" i="2"/>
  <c r="G642" i="2"/>
  <c r="H642" i="2"/>
  <c r="J642" i="2"/>
  <c r="E642" i="2"/>
  <c r="G643" i="2"/>
  <c r="H643" i="2"/>
  <c r="J643" i="2"/>
  <c r="E643" i="2"/>
  <c r="I7" i="2"/>
  <c r="I8" i="2"/>
  <c r="I9" i="2"/>
  <c r="I10" i="2"/>
  <c r="I11" i="2"/>
  <c r="I12" i="2"/>
  <c r="I13" i="2"/>
  <c r="I14" i="2"/>
  <c r="I15" i="2"/>
  <c r="I16" i="2"/>
  <c r="I17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2" i="2"/>
  <c r="I73" i="2"/>
  <c r="I74" i="2"/>
  <c r="I75" i="2"/>
  <c r="I76" i="2"/>
  <c r="I78" i="2"/>
  <c r="I79" i="2"/>
  <c r="I80" i="2"/>
  <c r="I81" i="2"/>
  <c r="I82" i="2"/>
  <c r="I83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7" i="2"/>
  <c r="I148" i="2"/>
  <c r="I150" i="2"/>
  <c r="I151" i="2"/>
  <c r="I152" i="2"/>
  <c r="I153" i="2"/>
  <c r="I154" i="2"/>
  <c r="I155" i="2"/>
  <c r="I156" i="2"/>
  <c r="I157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2" i="2"/>
  <c r="I293" i="2"/>
  <c r="I294" i="2"/>
  <c r="I295" i="2"/>
  <c r="I296" i="2"/>
  <c r="I297" i="2"/>
  <c r="I298" i="2"/>
  <c r="I299" i="2"/>
  <c r="I300" i="2"/>
  <c r="I302" i="2"/>
  <c r="I304" i="2"/>
  <c r="I305" i="2"/>
  <c r="I306" i="2"/>
  <c r="I307" i="2"/>
  <c r="I308" i="2"/>
  <c r="I309" i="2"/>
  <c r="I310" i="2"/>
  <c r="I311" i="2"/>
  <c r="I312" i="2"/>
  <c r="I313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41" i="2"/>
  <c r="I342" i="2"/>
  <c r="I344" i="2"/>
  <c r="I345" i="2"/>
  <c r="I346" i="2"/>
  <c r="I347" i="2"/>
  <c r="I348" i="2"/>
  <c r="I349" i="2"/>
  <c r="I351" i="2"/>
  <c r="I352" i="2"/>
  <c r="I353" i="2"/>
  <c r="I354" i="2"/>
  <c r="I355" i="2"/>
  <c r="I356" i="2"/>
  <c r="I357" i="2"/>
  <c r="I358" i="2"/>
  <c r="I359" i="2"/>
  <c r="I360" i="2"/>
  <c r="I361" i="2"/>
  <c r="I362" i="2"/>
  <c r="I363" i="2"/>
  <c r="I364" i="2"/>
  <c r="I365" i="2"/>
  <c r="I367" i="2"/>
  <c r="I368" i="2"/>
  <c r="I369" i="2"/>
  <c r="I370" i="2"/>
  <c r="I371" i="2"/>
  <c r="I372" i="2"/>
  <c r="I373" i="2"/>
  <c r="I374" i="2"/>
  <c r="I376" i="2"/>
  <c r="I377" i="2"/>
  <c r="I378" i="2"/>
  <c r="I379" i="2"/>
  <c r="I380" i="2"/>
  <c r="I381" i="2"/>
  <c r="I382" i="2"/>
  <c r="I383" i="2"/>
  <c r="I385" i="2"/>
  <c r="I386" i="2"/>
  <c r="I387" i="2"/>
  <c r="I388" i="2"/>
  <c r="I389" i="2"/>
  <c r="I390" i="2"/>
  <c r="I391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17" i="2"/>
  <c r="I519" i="2"/>
  <c r="I520" i="2"/>
  <c r="I521" i="2"/>
  <c r="I522" i="2"/>
  <c r="I524" i="2"/>
  <c r="I525" i="2"/>
  <c r="I526" i="2"/>
  <c r="I527" i="2"/>
  <c r="I528" i="2"/>
  <c r="I529" i="2"/>
  <c r="I530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7" i="2"/>
  <c r="I568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90" i="2"/>
  <c r="I591" i="2"/>
  <c r="I592" i="2"/>
  <c r="I593" i="2"/>
  <c r="I596" i="2"/>
  <c r="I597" i="2"/>
  <c r="I600" i="2"/>
  <c r="I601" i="2"/>
  <c r="I602" i="2"/>
  <c r="I603" i="2"/>
  <c r="I605" i="2"/>
  <c r="I606" i="2"/>
  <c r="I607" i="2"/>
  <c r="I608" i="2"/>
  <c r="I609" i="2"/>
  <c r="I610" i="2"/>
  <c r="I611" i="2"/>
  <c r="I612" i="2"/>
  <c r="I613" i="2"/>
  <c r="I615" i="2"/>
  <c r="I616" i="2"/>
  <c r="I617" i="2"/>
  <c r="I618" i="2"/>
  <c r="I620" i="2"/>
  <c r="I621" i="2"/>
  <c r="I622" i="2"/>
  <c r="I623" i="2"/>
  <c r="I624" i="2"/>
  <c r="I625" i="2"/>
  <c r="I6" i="2"/>
  <c r="I5" i="2"/>
  <c r="I4" i="2"/>
  <c r="G619" i="2"/>
  <c r="H619" i="2"/>
  <c r="I619" i="2" s="1"/>
  <c r="J619" i="2"/>
  <c r="F621" i="2"/>
  <c r="F622" i="2"/>
  <c r="F623" i="2"/>
  <c r="F624" i="2"/>
  <c r="F625" i="2"/>
  <c r="F620" i="2"/>
  <c r="E619" i="2"/>
  <c r="E604" i="2" s="1"/>
  <c r="G605" i="2"/>
  <c r="G604" i="2" s="1"/>
  <c r="H605" i="2"/>
  <c r="J605" i="2"/>
  <c r="F607" i="2"/>
  <c r="F608" i="2"/>
  <c r="F609" i="2"/>
  <c r="F610" i="2"/>
  <c r="F611" i="2"/>
  <c r="F612" i="2"/>
  <c r="F613" i="2"/>
  <c r="F614" i="2"/>
  <c r="F615" i="2"/>
  <c r="F616" i="2"/>
  <c r="F617" i="2"/>
  <c r="F618" i="2"/>
  <c r="F606" i="2"/>
  <c r="E605" i="2"/>
  <c r="G600" i="2"/>
  <c r="H600" i="2"/>
  <c r="J600" i="2"/>
  <c r="F602" i="2"/>
  <c r="F603" i="2"/>
  <c r="F601" i="2"/>
  <c r="E600" i="2"/>
  <c r="F598" i="2"/>
  <c r="G598" i="2"/>
  <c r="H598" i="2"/>
  <c r="J598" i="2"/>
  <c r="F599" i="2"/>
  <c r="E598" i="2"/>
  <c r="E569" i="2" s="1"/>
  <c r="F596" i="2"/>
  <c r="G596" i="2"/>
  <c r="H596" i="2"/>
  <c r="E596" i="2"/>
  <c r="F597" i="2"/>
  <c r="G591" i="2"/>
  <c r="H591" i="2"/>
  <c r="J591" i="2"/>
  <c r="E591" i="2"/>
  <c r="F595" i="2"/>
  <c r="F594" i="2"/>
  <c r="F593" i="2"/>
  <c r="F591" i="2" s="1"/>
  <c r="F592" i="2"/>
  <c r="G587" i="2"/>
  <c r="H587" i="2"/>
  <c r="J587" i="2"/>
  <c r="F589" i="2"/>
  <c r="F590" i="2"/>
  <c r="F588" i="2"/>
  <c r="E587" i="2"/>
  <c r="G575" i="2"/>
  <c r="H575" i="2"/>
  <c r="J575" i="2"/>
  <c r="F577" i="2"/>
  <c r="F578" i="2"/>
  <c r="F579" i="2"/>
  <c r="F580" i="2"/>
  <c r="F581" i="2"/>
  <c r="F582" i="2"/>
  <c r="F583" i="2"/>
  <c r="F584" i="2"/>
  <c r="F585" i="2"/>
  <c r="F586" i="2"/>
  <c r="F576" i="2"/>
  <c r="E575" i="2"/>
  <c r="G570" i="2"/>
  <c r="G569" i="2" s="1"/>
  <c r="H570" i="2"/>
  <c r="J570" i="2"/>
  <c r="F572" i="2"/>
  <c r="F573" i="2"/>
  <c r="F574" i="2"/>
  <c r="F571" i="2"/>
  <c r="E570" i="2"/>
  <c r="G560" i="2"/>
  <c r="H560" i="2"/>
  <c r="J560" i="2"/>
  <c r="F562" i="2"/>
  <c r="F563" i="2"/>
  <c r="F564" i="2"/>
  <c r="F565" i="2"/>
  <c r="F566" i="2"/>
  <c r="F567" i="2"/>
  <c r="F568" i="2"/>
  <c r="F561" i="2"/>
  <c r="E560" i="2"/>
  <c r="F558" i="2"/>
  <c r="G558" i="2"/>
  <c r="H558" i="2"/>
  <c r="J558" i="2"/>
  <c r="E558" i="2"/>
  <c r="F559" i="2"/>
  <c r="G553" i="2"/>
  <c r="H553" i="2"/>
  <c r="J553" i="2"/>
  <c r="F555" i="2"/>
  <c r="F556" i="2"/>
  <c r="F557" i="2"/>
  <c r="F554" i="2"/>
  <c r="E553" i="2"/>
  <c r="G545" i="2"/>
  <c r="H545" i="2"/>
  <c r="J545" i="2"/>
  <c r="F547" i="2"/>
  <c r="F548" i="2"/>
  <c r="F549" i="2"/>
  <c r="F550" i="2"/>
  <c r="F551" i="2"/>
  <c r="F552" i="2"/>
  <c r="F546" i="2"/>
  <c r="E545" i="2"/>
  <c r="G543" i="2"/>
  <c r="H543" i="2"/>
  <c r="J543" i="2"/>
  <c r="E543" i="2"/>
  <c r="F544" i="2"/>
  <c r="F543" i="2" s="1"/>
  <c r="G538" i="2"/>
  <c r="H538" i="2"/>
  <c r="J538" i="2"/>
  <c r="F540" i="2"/>
  <c r="F541" i="2"/>
  <c r="F542" i="2"/>
  <c r="F539" i="2"/>
  <c r="E538" i="2"/>
  <c r="F536" i="2"/>
  <c r="G536" i="2"/>
  <c r="H536" i="2"/>
  <c r="J536" i="2"/>
  <c r="E536" i="2"/>
  <c r="F537" i="2"/>
  <c r="G523" i="2"/>
  <c r="H523" i="2"/>
  <c r="I523" i="2" s="1"/>
  <c r="J523" i="2"/>
  <c r="F525" i="2"/>
  <c r="F526" i="2"/>
  <c r="F527" i="2"/>
  <c r="F528" i="2"/>
  <c r="F529" i="2"/>
  <c r="F530" i="2"/>
  <c r="F531" i="2"/>
  <c r="F532" i="2"/>
  <c r="F533" i="2"/>
  <c r="F534" i="2"/>
  <c r="F535" i="2"/>
  <c r="F524" i="2"/>
  <c r="E523" i="2"/>
  <c r="G517" i="2"/>
  <c r="G516" i="2" s="1"/>
  <c r="H517" i="2"/>
  <c r="J517" i="2"/>
  <c r="F519" i="2"/>
  <c r="F520" i="2"/>
  <c r="F521" i="2"/>
  <c r="F522" i="2"/>
  <c r="F518" i="2"/>
  <c r="E517" i="2"/>
  <c r="E516" i="2" s="1"/>
  <c r="G509" i="2"/>
  <c r="H509" i="2"/>
  <c r="J509" i="2"/>
  <c r="F511" i="2"/>
  <c r="F512" i="2"/>
  <c r="F513" i="2"/>
  <c r="F514" i="2"/>
  <c r="F515" i="2"/>
  <c r="F510" i="2"/>
  <c r="E509" i="2"/>
  <c r="F507" i="2"/>
  <c r="G507" i="2"/>
  <c r="H507" i="2"/>
  <c r="J507" i="2"/>
  <c r="E507" i="2"/>
  <c r="F508" i="2"/>
  <c r="F505" i="2"/>
  <c r="G505" i="2"/>
  <c r="H505" i="2"/>
  <c r="J505" i="2"/>
  <c r="E505" i="2"/>
  <c r="F506" i="2"/>
  <c r="G496" i="2"/>
  <c r="H496" i="2"/>
  <c r="J496" i="2"/>
  <c r="F498" i="2"/>
  <c r="F499" i="2"/>
  <c r="F500" i="2"/>
  <c r="F501" i="2"/>
  <c r="F502" i="2"/>
  <c r="F503" i="2"/>
  <c r="F504" i="2"/>
  <c r="F497" i="2"/>
  <c r="E496" i="2"/>
  <c r="E460" i="2" s="1"/>
  <c r="G492" i="2"/>
  <c r="H492" i="2"/>
  <c r="J492" i="2"/>
  <c r="F494" i="2"/>
  <c r="F495" i="2"/>
  <c r="F493" i="2"/>
  <c r="E492" i="2"/>
  <c r="G477" i="2"/>
  <c r="H477" i="2"/>
  <c r="J477" i="2"/>
  <c r="E477" i="2"/>
  <c r="F479" i="2"/>
  <c r="F480" i="2"/>
  <c r="F481" i="2"/>
  <c r="F482" i="2"/>
  <c r="F483" i="2"/>
  <c r="F484" i="2"/>
  <c r="F485" i="2"/>
  <c r="F486" i="2"/>
  <c r="F487" i="2"/>
  <c r="F488" i="2"/>
  <c r="F489" i="2"/>
  <c r="F490" i="2"/>
  <c r="F491" i="2"/>
  <c r="F478" i="2"/>
  <c r="G461" i="2"/>
  <c r="G460" i="2" s="1"/>
  <c r="H461" i="2"/>
  <c r="J461" i="2"/>
  <c r="F463" i="2"/>
  <c r="F464" i="2"/>
  <c r="F465" i="2"/>
  <c r="F466" i="2"/>
  <c r="F467" i="2"/>
  <c r="F468" i="2"/>
  <c r="F469" i="2"/>
  <c r="F470" i="2"/>
  <c r="F471" i="2"/>
  <c r="F472" i="2"/>
  <c r="F473" i="2"/>
  <c r="F474" i="2"/>
  <c r="F475" i="2"/>
  <c r="F476" i="2"/>
  <c r="F462" i="2"/>
  <c r="E461" i="2"/>
  <c r="G458" i="2"/>
  <c r="H458" i="2"/>
  <c r="J458" i="2"/>
  <c r="E458" i="2"/>
  <c r="F459" i="2"/>
  <c r="F458" i="2" s="1"/>
  <c r="F455" i="2"/>
  <c r="G455" i="2"/>
  <c r="H455" i="2"/>
  <c r="J455" i="2"/>
  <c r="F457" i="2"/>
  <c r="F456" i="2"/>
  <c r="E455" i="2"/>
  <c r="G443" i="2"/>
  <c r="G442" i="2" s="1"/>
  <c r="H443" i="2"/>
  <c r="J443" i="2"/>
  <c r="E443" i="2"/>
  <c r="F445" i="2"/>
  <c r="F446" i="2"/>
  <c r="F447" i="2"/>
  <c r="F448" i="2"/>
  <c r="F449" i="2"/>
  <c r="F450" i="2"/>
  <c r="F451" i="2"/>
  <c r="F452" i="2"/>
  <c r="F453" i="2"/>
  <c r="F454" i="2"/>
  <c r="F444" i="2"/>
  <c r="G422" i="2"/>
  <c r="H422" i="2"/>
  <c r="H419" i="2" s="1"/>
  <c r="J422" i="2"/>
  <c r="F424" i="2"/>
  <c r="F425" i="2"/>
  <c r="F426" i="2"/>
  <c r="F427" i="2"/>
  <c r="F428" i="2"/>
  <c r="F429" i="2"/>
  <c r="F430" i="2"/>
  <c r="F431" i="2"/>
  <c r="F432" i="2"/>
  <c r="F433" i="2"/>
  <c r="F434" i="2"/>
  <c r="F435" i="2"/>
  <c r="F436" i="2"/>
  <c r="F437" i="2"/>
  <c r="F438" i="2"/>
  <c r="F439" i="2"/>
  <c r="F440" i="2"/>
  <c r="F441" i="2"/>
  <c r="F423" i="2"/>
  <c r="E422" i="2"/>
  <c r="G420" i="2"/>
  <c r="G419" i="2" s="1"/>
  <c r="H420" i="2"/>
  <c r="J420" i="2"/>
  <c r="E420" i="2"/>
  <c r="E419" i="2" s="1"/>
  <c r="F421" i="2"/>
  <c r="F420" i="2" s="1"/>
  <c r="G416" i="2"/>
  <c r="H416" i="2"/>
  <c r="J416" i="2"/>
  <c r="E416" i="2"/>
  <c r="F418" i="2"/>
  <c r="F416" i="2" s="1"/>
  <c r="F417" i="2"/>
  <c r="G414" i="2"/>
  <c r="H414" i="2"/>
  <c r="J414" i="2"/>
  <c r="E414" i="2"/>
  <c r="F415" i="2"/>
  <c r="F414" i="2" s="1"/>
  <c r="G412" i="2"/>
  <c r="H412" i="2"/>
  <c r="J412" i="2"/>
  <c r="E412" i="2"/>
  <c r="F413" i="2"/>
  <c r="F412" i="2" s="1"/>
  <c r="F410" i="2"/>
  <c r="G410" i="2"/>
  <c r="H410" i="2"/>
  <c r="J410" i="2"/>
  <c r="F411" i="2"/>
  <c r="E410" i="2"/>
  <c r="G406" i="2"/>
  <c r="H406" i="2"/>
  <c r="J406" i="2"/>
  <c r="F408" i="2"/>
  <c r="F409" i="2"/>
  <c r="F407" i="2"/>
  <c r="E406" i="2"/>
  <c r="G386" i="2"/>
  <c r="H386" i="2"/>
  <c r="J386" i="2"/>
  <c r="F388" i="2"/>
  <c r="F389" i="2"/>
  <c r="F390" i="2"/>
  <c r="F391" i="2"/>
  <c r="F392" i="2"/>
  <c r="F393" i="2"/>
  <c r="F394" i="2"/>
  <c r="F395" i="2"/>
  <c r="F396" i="2"/>
  <c r="F397" i="2"/>
  <c r="F398" i="2"/>
  <c r="F399" i="2"/>
  <c r="F400" i="2"/>
  <c r="F401" i="2"/>
  <c r="F402" i="2"/>
  <c r="F403" i="2"/>
  <c r="F404" i="2"/>
  <c r="F405" i="2"/>
  <c r="F387" i="2"/>
  <c r="E386" i="2"/>
  <c r="G382" i="2"/>
  <c r="H382" i="2"/>
  <c r="J382" i="2"/>
  <c r="F384" i="2"/>
  <c r="F385" i="2"/>
  <c r="F383" i="2"/>
  <c r="E382" i="2"/>
  <c r="G379" i="2"/>
  <c r="H379" i="2"/>
  <c r="J379" i="2"/>
  <c r="E379" i="2"/>
  <c r="F381" i="2"/>
  <c r="F380" i="2"/>
  <c r="F379" i="2" s="1"/>
  <c r="G377" i="2"/>
  <c r="H377" i="2"/>
  <c r="J377" i="2"/>
  <c r="E377" i="2"/>
  <c r="F378" i="2"/>
  <c r="F377" i="2" s="1"/>
  <c r="G373" i="2"/>
  <c r="H373" i="2"/>
  <c r="J373" i="2"/>
  <c r="E373" i="2"/>
  <c r="F375" i="2"/>
  <c r="F376" i="2"/>
  <c r="F374" i="2"/>
  <c r="G370" i="2"/>
  <c r="H370" i="2"/>
  <c r="J370" i="2"/>
  <c r="F372" i="2"/>
  <c r="F371" i="2"/>
  <c r="F370" i="2" s="1"/>
  <c r="E370" i="2"/>
  <c r="G368" i="2"/>
  <c r="G367" i="2" s="1"/>
  <c r="H368" i="2"/>
  <c r="J368" i="2"/>
  <c r="F369" i="2"/>
  <c r="F368" i="2" s="1"/>
  <c r="E368" i="2"/>
  <c r="E367" i="2" s="1"/>
  <c r="G363" i="2"/>
  <c r="H363" i="2"/>
  <c r="J363" i="2"/>
  <c r="F365" i="2"/>
  <c r="F366" i="2"/>
  <c r="F364" i="2"/>
  <c r="E363" i="2"/>
  <c r="G350" i="2"/>
  <c r="H350" i="2"/>
  <c r="I350" i="2" s="1"/>
  <c r="J350" i="2"/>
  <c r="F352" i="2"/>
  <c r="F353" i="2"/>
  <c r="F354" i="2"/>
  <c r="F355" i="2"/>
  <c r="F356" i="2"/>
  <c r="F357" i="2"/>
  <c r="F358" i="2"/>
  <c r="F359" i="2"/>
  <c r="F360" i="2"/>
  <c r="F361" i="2"/>
  <c r="F362" i="2"/>
  <c r="F351" i="2"/>
  <c r="E350" i="2"/>
  <c r="G346" i="2"/>
  <c r="H346" i="2"/>
  <c r="J346" i="2"/>
  <c r="F348" i="2"/>
  <c r="F349" i="2"/>
  <c r="F347" i="2"/>
  <c r="E346" i="2"/>
  <c r="G344" i="2"/>
  <c r="G343" i="2" s="1"/>
  <c r="H344" i="2"/>
  <c r="J344" i="2"/>
  <c r="E344" i="2"/>
  <c r="F345" i="2"/>
  <c r="F344" i="2" s="1"/>
  <c r="G318" i="2"/>
  <c r="H318" i="2"/>
  <c r="J318" i="2"/>
  <c r="E318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19" i="2"/>
  <c r="G303" i="2"/>
  <c r="H303" i="2"/>
  <c r="I303" i="2" s="1"/>
  <c r="J303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04" i="2"/>
  <c r="E303" i="2"/>
  <c r="G289" i="2"/>
  <c r="H289" i="2"/>
  <c r="J289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290" i="2"/>
  <c r="E289" i="2"/>
  <c r="G277" i="2"/>
  <c r="H277" i="2"/>
  <c r="J277" i="2"/>
  <c r="F279" i="2"/>
  <c r="F280" i="2"/>
  <c r="F281" i="2"/>
  <c r="F282" i="2"/>
  <c r="F283" i="2"/>
  <c r="F284" i="2"/>
  <c r="F285" i="2"/>
  <c r="F286" i="2"/>
  <c r="F287" i="2"/>
  <c r="F288" i="2"/>
  <c r="F278" i="2"/>
  <c r="E277" i="2"/>
  <c r="F274" i="2"/>
  <c r="G274" i="2"/>
  <c r="H274" i="2"/>
  <c r="J274" i="2"/>
  <c r="F276" i="2"/>
  <c r="F275" i="2"/>
  <c r="E274" i="2"/>
  <c r="G270" i="2"/>
  <c r="H270" i="2"/>
  <c r="J270" i="2"/>
  <c r="F272" i="2"/>
  <c r="F273" i="2"/>
  <c r="F271" i="2"/>
  <c r="E270" i="2"/>
  <c r="G250" i="2"/>
  <c r="H250" i="2"/>
  <c r="J250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51" i="2"/>
  <c r="F250" i="2" s="1"/>
  <c r="E250" i="2"/>
  <c r="G225" i="2"/>
  <c r="H225" i="2"/>
  <c r="J225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26" i="2"/>
  <c r="F225" i="2" s="1"/>
  <c r="E225" i="2"/>
  <c r="G209" i="2"/>
  <c r="H209" i="2"/>
  <c r="J209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10" i="2"/>
  <c r="E209" i="2"/>
  <c r="G187" i="2"/>
  <c r="G186" i="2" s="1"/>
  <c r="H187" i="2"/>
  <c r="I187" i="2" s="1"/>
  <c r="J187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188" i="2"/>
  <c r="E187" i="2"/>
  <c r="E186" i="2" s="1"/>
  <c r="E181" i="2"/>
  <c r="F184" i="2"/>
  <c r="G184" i="2"/>
  <c r="H184" i="2"/>
  <c r="J184" i="2"/>
  <c r="E184" i="2"/>
  <c r="F185" i="2"/>
  <c r="F182" i="2"/>
  <c r="F181" i="2" s="1"/>
  <c r="G182" i="2"/>
  <c r="G181" i="2" s="1"/>
  <c r="H182" i="2"/>
  <c r="H181" i="2" s="1"/>
  <c r="J182" i="2"/>
  <c r="J181" i="2" s="1"/>
  <c r="E182" i="2"/>
  <c r="F183" i="2"/>
  <c r="G178" i="2"/>
  <c r="F179" i="2"/>
  <c r="F178" i="2" s="1"/>
  <c r="G179" i="2"/>
  <c r="H179" i="2"/>
  <c r="H178" i="2" s="1"/>
  <c r="J179" i="2"/>
  <c r="J178" i="2" s="1"/>
  <c r="E179" i="2"/>
  <c r="E178" i="2" s="1"/>
  <c r="F180" i="2"/>
  <c r="G173" i="2"/>
  <c r="H173" i="2"/>
  <c r="J173" i="2"/>
  <c r="F175" i="2"/>
  <c r="F176" i="2"/>
  <c r="F177" i="2"/>
  <c r="F174" i="2"/>
  <c r="E173" i="2"/>
  <c r="G171" i="2"/>
  <c r="H171" i="2"/>
  <c r="J171" i="2"/>
  <c r="E171" i="2"/>
  <c r="F172" i="2"/>
  <c r="F171" i="2" s="1"/>
  <c r="G166" i="2"/>
  <c r="H166" i="2"/>
  <c r="J166" i="2"/>
  <c r="F168" i="2"/>
  <c r="F169" i="2"/>
  <c r="F170" i="2"/>
  <c r="F167" i="2"/>
  <c r="E166" i="2"/>
  <c r="G149" i="2"/>
  <c r="G146" i="2" s="1"/>
  <c r="H149" i="2"/>
  <c r="I149" i="2" s="1"/>
  <c r="J149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50" i="2"/>
  <c r="E149" i="2"/>
  <c r="F147" i="2"/>
  <c r="G147" i="2"/>
  <c r="H147" i="2"/>
  <c r="J147" i="2"/>
  <c r="E147" i="2"/>
  <c r="E146" i="2" s="1"/>
  <c r="F148" i="2"/>
  <c r="G141" i="2"/>
  <c r="E141" i="2"/>
  <c r="G142" i="2"/>
  <c r="H142" i="2"/>
  <c r="H141" i="2" s="1"/>
  <c r="J142" i="2"/>
  <c r="J141" i="2" s="1"/>
  <c r="E142" i="2"/>
  <c r="F144" i="2"/>
  <c r="F145" i="2"/>
  <c r="F143" i="2"/>
  <c r="G137" i="2"/>
  <c r="H137" i="2"/>
  <c r="J137" i="2"/>
  <c r="F139" i="2"/>
  <c r="F140" i="2"/>
  <c r="F138" i="2"/>
  <c r="E137" i="2"/>
  <c r="G119" i="2"/>
  <c r="H119" i="2"/>
  <c r="J119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20" i="2"/>
  <c r="E119" i="2"/>
  <c r="G115" i="2"/>
  <c r="H115" i="2"/>
  <c r="I115" i="2" s="1"/>
  <c r="J115" i="2"/>
  <c r="E115" i="2"/>
  <c r="F117" i="2"/>
  <c r="F118" i="2"/>
  <c r="F116" i="2"/>
  <c r="F115" i="2" s="1"/>
  <c r="G85" i="2"/>
  <c r="H85" i="2"/>
  <c r="I85" i="2" s="1"/>
  <c r="J85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86" i="2"/>
  <c r="E85" i="2"/>
  <c r="G79" i="2"/>
  <c r="H79" i="2"/>
  <c r="J79" i="2"/>
  <c r="F81" i="2"/>
  <c r="F82" i="2"/>
  <c r="F83" i="2"/>
  <c r="F84" i="2"/>
  <c r="F80" i="2"/>
  <c r="E79" i="2"/>
  <c r="G72" i="2"/>
  <c r="G71" i="2" s="1"/>
  <c r="H72" i="2"/>
  <c r="J72" i="2"/>
  <c r="E72" i="2"/>
  <c r="E71" i="2" s="1"/>
  <c r="F74" i="2"/>
  <c r="F75" i="2"/>
  <c r="F76" i="2"/>
  <c r="F77" i="2"/>
  <c r="F78" i="2"/>
  <c r="F73" i="2"/>
  <c r="G68" i="2"/>
  <c r="H68" i="2"/>
  <c r="J68" i="2"/>
  <c r="E68" i="2"/>
  <c r="F70" i="2"/>
  <c r="F69" i="2"/>
  <c r="F68" i="2" s="1"/>
  <c r="G65" i="2"/>
  <c r="G64" i="2" s="1"/>
  <c r="H65" i="2"/>
  <c r="H64" i="2" s="1"/>
  <c r="J65" i="2"/>
  <c r="J64" i="2" s="1"/>
  <c r="F67" i="2"/>
  <c r="F66" i="2"/>
  <c r="F65" i="2" s="1"/>
  <c r="F64" i="2" s="1"/>
  <c r="E65" i="2"/>
  <c r="E64" i="2" s="1"/>
  <c r="G47" i="2"/>
  <c r="F52" i="2"/>
  <c r="F53" i="2"/>
  <c r="F54" i="2"/>
  <c r="F55" i="2"/>
  <c r="F56" i="2"/>
  <c r="F57" i="2"/>
  <c r="F58" i="2"/>
  <c r="F59" i="2"/>
  <c r="F60" i="2"/>
  <c r="F61" i="2"/>
  <c r="F62" i="2"/>
  <c r="F63" i="2"/>
  <c r="F51" i="2"/>
  <c r="G50" i="2"/>
  <c r="H50" i="2"/>
  <c r="J50" i="2"/>
  <c r="E50" i="2"/>
  <c r="G48" i="2"/>
  <c r="H48" i="2"/>
  <c r="J48" i="2"/>
  <c r="F49" i="2"/>
  <c r="F48" i="2" s="1"/>
  <c r="E48" i="2"/>
  <c r="E47" i="2" s="1"/>
  <c r="G42" i="2"/>
  <c r="H42" i="2"/>
  <c r="F44" i="2"/>
  <c r="F45" i="2"/>
  <c r="F46" i="2"/>
  <c r="F43" i="2"/>
  <c r="E42" i="2"/>
  <c r="F39" i="2"/>
  <c r="G39" i="2"/>
  <c r="G38" i="2" s="1"/>
  <c r="H39" i="2"/>
  <c r="J39" i="2"/>
  <c r="J38" i="2" s="1"/>
  <c r="E39" i="2"/>
  <c r="E38" i="2" s="1"/>
  <c r="F41" i="2"/>
  <c r="F40" i="2"/>
  <c r="E26" i="2"/>
  <c r="G32" i="2"/>
  <c r="H32" i="2"/>
  <c r="J32" i="2"/>
  <c r="F34" i="2"/>
  <c r="F35" i="2"/>
  <c r="F36" i="2"/>
  <c r="F37" i="2"/>
  <c r="F33" i="2"/>
  <c r="E32" i="2"/>
  <c r="F30" i="2"/>
  <c r="G30" i="2"/>
  <c r="H30" i="2"/>
  <c r="J30" i="2"/>
  <c r="E30" i="2"/>
  <c r="F31" i="2"/>
  <c r="G27" i="2"/>
  <c r="G26" i="2" s="1"/>
  <c r="H27" i="2"/>
  <c r="J27" i="2"/>
  <c r="F29" i="2"/>
  <c r="F28" i="2"/>
  <c r="F27" i="2" s="1"/>
  <c r="E27" i="2"/>
  <c r="G19" i="2"/>
  <c r="G20" i="2"/>
  <c r="H20" i="2"/>
  <c r="H19" i="2" s="1"/>
  <c r="J20" i="2"/>
  <c r="J19" i="2" s="1"/>
  <c r="E20" i="2"/>
  <c r="E19" i="2" s="1"/>
  <c r="F22" i="2"/>
  <c r="F23" i="2"/>
  <c r="F24" i="2"/>
  <c r="F25" i="2"/>
  <c r="F21" i="2"/>
  <c r="G11" i="2"/>
  <c r="H11" i="2"/>
  <c r="J11" i="2"/>
  <c r="E11" i="2"/>
  <c r="F13" i="2"/>
  <c r="F14" i="2"/>
  <c r="F15" i="2"/>
  <c r="F16" i="2"/>
  <c r="F17" i="2"/>
  <c r="F18" i="2"/>
  <c r="F12" i="2"/>
  <c r="G9" i="2"/>
  <c r="H9" i="2"/>
  <c r="J9" i="2"/>
  <c r="E9" i="2"/>
  <c r="F10" i="2"/>
  <c r="F9" i="2" s="1"/>
  <c r="G7" i="2"/>
  <c r="G4" i="2" s="1"/>
  <c r="H7" i="2"/>
  <c r="J7" i="2"/>
  <c r="E7" i="2"/>
  <c r="F8" i="2"/>
  <c r="F7" i="2" s="1"/>
  <c r="G5" i="2"/>
  <c r="H5" i="2"/>
  <c r="J5" i="2"/>
  <c r="E5" i="2"/>
  <c r="E4" i="2" s="1"/>
  <c r="F6" i="2"/>
  <c r="F5" i="2" s="1"/>
  <c r="F270" i="2" l="1"/>
  <c r="F42" i="2"/>
  <c r="F79" i="2"/>
  <c r="F350" i="2"/>
  <c r="F363" i="2"/>
  <c r="F382" i="2"/>
  <c r="F406" i="2"/>
  <c r="F634" i="2"/>
  <c r="F600" i="2"/>
  <c r="F509" i="2"/>
  <c r="F523" i="2"/>
  <c r="F641" i="2"/>
  <c r="F560" i="2"/>
  <c r="F570" i="2"/>
  <c r="F575" i="2"/>
  <c r="F605" i="2"/>
  <c r="F636" i="2"/>
  <c r="F643" i="2"/>
  <c r="F631" i="2"/>
  <c r="F629" i="2" s="1"/>
  <c r="F628" i="2" s="1"/>
  <c r="F318" i="2"/>
  <c r="F633" i="2"/>
  <c r="F642" i="2"/>
  <c r="F632" i="2"/>
  <c r="F639" i="2"/>
  <c r="F72" i="2"/>
  <c r="F173" i="2"/>
  <c r="F209" i="2"/>
  <c r="F303" i="2"/>
  <c r="F492" i="2"/>
  <c r="F538" i="2"/>
  <c r="F553" i="2"/>
  <c r="F32" i="2"/>
  <c r="F26" i="2" s="1"/>
  <c r="F20" i="2"/>
  <c r="F19" i="2" s="1"/>
  <c r="F38" i="2"/>
  <c r="F85" i="2"/>
  <c r="F119" i="2"/>
  <c r="F137" i="2"/>
  <c r="F346" i="2"/>
  <c r="F343" i="2" s="1"/>
  <c r="F373" i="2"/>
  <c r="F422" i="2"/>
  <c r="F419" i="2" s="1"/>
  <c r="F477" i="2"/>
  <c r="F545" i="2"/>
  <c r="F587" i="2"/>
  <c r="F569" i="2" s="1"/>
  <c r="F11" i="2"/>
  <c r="F187" i="2"/>
  <c r="F277" i="2"/>
  <c r="F289" i="2"/>
  <c r="F142" i="2"/>
  <c r="F141" i="2" s="1"/>
  <c r="F149" i="2"/>
  <c r="F146" i="2" s="1"/>
  <c r="F166" i="2"/>
  <c r="F386" i="2"/>
  <c r="F443" i="2"/>
  <c r="F461" i="2"/>
  <c r="F496" i="2"/>
  <c r="F517" i="2"/>
  <c r="F619" i="2"/>
  <c r="F604" i="2" s="1"/>
  <c r="J604" i="2"/>
  <c r="J569" i="2"/>
  <c r="J442" i="2"/>
  <c r="J419" i="2"/>
  <c r="J343" i="2"/>
  <c r="J26" i="2"/>
  <c r="J639" i="2"/>
  <c r="J4" i="2"/>
  <c r="J516" i="2"/>
  <c r="J460" i="2"/>
  <c r="J367" i="2"/>
  <c r="J186" i="2"/>
  <c r="J146" i="2"/>
  <c r="I629" i="2"/>
  <c r="H628" i="2"/>
  <c r="I628" i="2" s="1"/>
  <c r="I632" i="2"/>
  <c r="J629" i="2"/>
  <c r="J628" i="2" s="1"/>
  <c r="J71" i="2"/>
  <c r="J47" i="2"/>
  <c r="F367" i="2"/>
  <c r="F4" i="2"/>
  <c r="G626" i="2"/>
  <c r="F442" i="2"/>
  <c r="E442" i="2"/>
  <c r="H604" i="2"/>
  <c r="I604" i="2" s="1"/>
  <c r="H569" i="2"/>
  <c r="I569" i="2" s="1"/>
  <c r="H516" i="2"/>
  <c r="I516" i="2" s="1"/>
  <c r="H460" i="2"/>
  <c r="H442" i="2"/>
  <c r="H367" i="2"/>
  <c r="H343" i="2"/>
  <c r="I343" i="2" s="1"/>
  <c r="H186" i="2"/>
  <c r="I186" i="2" s="1"/>
  <c r="H146" i="2"/>
  <c r="I146" i="2" s="1"/>
  <c r="H71" i="2"/>
  <c r="I71" i="2" s="1"/>
  <c r="H47" i="2"/>
  <c r="H38" i="2"/>
  <c r="H26" i="2"/>
  <c r="H4" i="2"/>
  <c r="E343" i="2"/>
  <c r="F50" i="2"/>
  <c r="F47" i="2" s="1"/>
  <c r="E6" i="10"/>
  <c r="E109" i="10"/>
  <c r="E102" i="10"/>
  <c r="E97" i="10"/>
  <c r="E94" i="10"/>
  <c r="E90" i="10"/>
  <c r="E81" i="10"/>
  <c r="E76" i="10"/>
  <c r="E67" i="10"/>
  <c r="E66" i="10"/>
  <c r="E69" i="10"/>
  <c r="F186" i="2" l="1"/>
  <c r="F71" i="2"/>
  <c r="F516" i="2"/>
  <c r="F460" i="2"/>
  <c r="J626" i="2"/>
  <c r="E626" i="2"/>
  <c r="H626" i="2"/>
  <c r="I626" i="2" s="1"/>
  <c r="E65" i="10"/>
  <c r="E60" i="10"/>
  <c r="G127" i="9"/>
  <c r="E58" i="10"/>
  <c r="E53" i="10"/>
  <c r="E51" i="10"/>
  <c r="E50" i="10"/>
  <c r="E47" i="10"/>
  <c r="E44" i="10"/>
  <c r="E40" i="10"/>
  <c r="E39" i="10"/>
  <c r="E29" i="10"/>
  <c r="E28" i="10"/>
  <c r="E27" i="10"/>
  <c r="E24" i="10"/>
  <c r="E23" i="10" s="1"/>
  <c r="E21" i="10"/>
  <c r="E17" i="10"/>
  <c r="E10" i="10"/>
  <c r="F626" i="2" l="1"/>
  <c r="G191" i="1"/>
  <c r="H191" i="1"/>
  <c r="J191" i="1"/>
  <c r="K191" i="1"/>
  <c r="L191" i="1"/>
  <c r="E191" i="1"/>
  <c r="F220" i="1"/>
  <c r="G220" i="1"/>
  <c r="H220" i="1"/>
  <c r="H219" i="1" s="1"/>
  <c r="J220" i="1"/>
  <c r="K220" i="1"/>
  <c r="K219" i="1" s="1"/>
  <c r="L220" i="1"/>
  <c r="L219" i="1" s="1"/>
  <c r="E220" i="1"/>
  <c r="F216" i="1"/>
  <c r="G216" i="1"/>
  <c r="H216" i="1"/>
  <c r="J216" i="1"/>
  <c r="K216" i="1"/>
  <c r="L216" i="1"/>
  <c r="E216" i="1"/>
  <c r="F213" i="1"/>
  <c r="G213" i="1"/>
  <c r="H213" i="1"/>
  <c r="J213" i="1"/>
  <c r="J206" i="1" s="1"/>
  <c r="K213" i="1"/>
  <c r="L213" i="1"/>
  <c r="E213" i="1"/>
  <c r="G207" i="1"/>
  <c r="I207" i="1"/>
  <c r="E207" i="1"/>
  <c r="F198" i="1"/>
  <c r="G198" i="1"/>
  <c r="H198" i="1"/>
  <c r="J198" i="1"/>
  <c r="K198" i="1"/>
  <c r="L198" i="1"/>
  <c r="E198" i="1"/>
  <c r="H174" i="1"/>
  <c r="F131" i="1"/>
  <c r="G131" i="1"/>
  <c r="H131" i="1"/>
  <c r="J131" i="1"/>
  <c r="K131" i="1"/>
  <c r="L131" i="1"/>
  <c r="E131" i="1"/>
  <c r="H122" i="1"/>
  <c r="L114" i="1"/>
  <c r="G114" i="1"/>
  <c r="H114" i="1"/>
  <c r="I114" i="1" s="1"/>
  <c r="J114" i="1"/>
  <c r="K114" i="1"/>
  <c r="E114" i="1"/>
  <c r="G101" i="1"/>
  <c r="H101" i="1"/>
  <c r="I101" i="1" s="1"/>
  <c r="J101" i="1"/>
  <c r="K101" i="1"/>
  <c r="L101" i="1"/>
  <c r="E101" i="1"/>
  <c r="H93" i="1"/>
  <c r="I93" i="1" s="1"/>
  <c r="G67" i="1"/>
  <c r="H67" i="1"/>
  <c r="J67" i="1"/>
  <c r="K67" i="1"/>
  <c r="L67" i="1"/>
  <c r="E67" i="1"/>
  <c r="F64" i="1"/>
  <c r="G64" i="1"/>
  <c r="H64" i="1"/>
  <c r="I64" i="1" s="1"/>
  <c r="J64" i="1"/>
  <c r="K64" i="1"/>
  <c r="L64" i="1"/>
  <c r="E64" i="1"/>
  <c r="F60" i="1"/>
  <c r="G60" i="1"/>
  <c r="H60" i="1"/>
  <c r="J60" i="1"/>
  <c r="J59" i="1" s="1"/>
  <c r="K60" i="1"/>
  <c r="K59" i="1" s="1"/>
  <c r="L60" i="1"/>
  <c r="E60" i="1"/>
  <c r="E59" i="1" s="1"/>
  <c r="F53" i="1"/>
  <c r="G53" i="1"/>
  <c r="H53" i="1"/>
  <c r="J53" i="1"/>
  <c r="K53" i="1"/>
  <c r="L53" i="1"/>
  <c r="E53" i="1"/>
  <c r="F50" i="1"/>
  <c r="G50" i="1"/>
  <c r="G41" i="1" s="1"/>
  <c r="H50" i="1"/>
  <c r="K50" i="1"/>
  <c r="L50" i="1"/>
  <c r="E50" i="1"/>
  <c r="E41" i="1" s="1"/>
  <c r="F47" i="1"/>
  <c r="F48" i="1"/>
  <c r="F49" i="1"/>
  <c r="F46" i="1"/>
  <c r="G45" i="1"/>
  <c r="H45" i="1"/>
  <c r="J45" i="1"/>
  <c r="K45" i="1"/>
  <c r="L45" i="1"/>
  <c r="E45" i="1"/>
  <c r="H42" i="1"/>
  <c r="J42" i="1"/>
  <c r="K42" i="1"/>
  <c r="L42" i="1"/>
  <c r="F42" i="1"/>
  <c r="G42" i="1"/>
  <c r="E42" i="1"/>
  <c r="G25" i="1"/>
  <c r="G24" i="1" s="1"/>
  <c r="H25" i="1"/>
  <c r="H24" i="1" s="1"/>
  <c r="J25" i="1"/>
  <c r="K25" i="1"/>
  <c r="K24" i="1" s="1"/>
  <c r="L25" i="1"/>
  <c r="L24" i="1" s="1"/>
  <c r="E25" i="1"/>
  <c r="E24" i="1" s="1"/>
  <c r="F19" i="1"/>
  <c r="G19" i="1"/>
  <c r="H19" i="1"/>
  <c r="H16" i="1" s="1"/>
  <c r="J19" i="1"/>
  <c r="K19" i="1"/>
  <c r="L19" i="1"/>
  <c r="E19" i="1"/>
  <c r="E16" i="1" s="1"/>
  <c r="F16" i="1"/>
  <c r="G16" i="1"/>
  <c r="L16" i="1"/>
  <c r="F17" i="1"/>
  <c r="G17" i="1"/>
  <c r="H17" i="1"/>
  <c r="J17" i="1"/>
  <c r="K17" i="1"/>
  <c r="L17" i="1"/>
  <c r="E17" i="1"/>
  <c r="F9" i="1"/>
  <c r="G9" i="1"/>
  <c r="H9" i="1"/>
  <c r="J9" i="1"/>
  <c r="J6" i="1" s="1"/>
  <c r="K9" i="1"/>
  <c r="L9" i="1"/>
  <c r="E9" i="1"/>
  <c r="G224" i="1"/>
  <c r="J224" i="1"/>
  <c r="E224" i="1"/>
  <c r="F224" i="1"/>
  <c r="F225" i="1"/>
  <c r="G225" i="1"/>
  <c r="H225" i="1"/>
  <c r="H224" i="1" s="1"/>
  <c r="J225" i="1"/>
  <c r="K225" i="1"/>
  <c r="K224" i="1" s="1"/>
  <c r="L225" i="1"/>
  <c r="L224" i="1" s="1"/>
  <c r="E225" i="1"/>
  <c r="F226" i="1"/>
  <c r="F219" i="1"/>
  <c r="G219" i="1"/>
  <c r="J219" i="1"/>
  <c r="E219" i="1"/>
  <c r="F222" i="1"/>
  <c r="G206" i="1"/>
  <c r="E206" i="1"/>
  <c r="F217" i="1"/>
  <c r="F215" i="1"/>
  <c r="F209" i="1"/>
  <c r="F210" i="1"/>
  <c r="F208" i="1"/>
  <c r="G185" i="1"/>
  <c r="E185" i="1"/>
  <c r="F204" i="1"/>
  <c r="G204" i="1"/>
  <c r="H204" i="1"/>
  <c r="J204" i="1"/>
  <c r="K204" i="1"/>
  <c r="L204" i="1"/>
  <c r="E204" i="1"/>
  <c r="F201" i="1"/>
  <c r="G201" i="1"/>
  <c r="H201" i="1"/>
  <c r="J201" i="1"/>
  <c r="K201" i="1"/>
  <c r="L201" i="1"/>
  <c r="E201" i="1"/>
  <c r="F203" i="1"/>
  <c r="F202" i="1"/>
  <c r="F199" i="1"/>
  <c r="F194" i="1"/>
  <c r="F195" i="1"/>
  <c r="F196" i="1"/>
  <c r="F197" i="1"/>
  <c r="F193" i="1"/>
  <c r="G186" i="1"/>
  <c r="H186" i="1"/>
  <c r="J186" i="1"/>
  <c r="K186" i="1"/>
  <c r="K185" i="1" s="1"/>
  <c r="L186" i="1"/>
  <c r="E186" i="1"/>
  <c r="F188" i="1"/>
  <c r="F189" i="1"/>
  <c r="F190" i="1"/>
  <c r="F187" i="1"/>
  <c r="F181" i="1"/>
  <c r="G181" i="1"/>
  <c r="J181" i="1"/>
  <c r="E181" i="1"/>
  <c r="F182" i="1"/>
  <c r="G182" i="1"/>
  <c r="H182" i="1"/>
  <c r="H181" i="1" s="1"/>
  <c r="J182" i="1"/>
  <c r="K182" i="1"/>
  <c r="K181" i="1" s="1"/>
  <c r="L182" i="1"/>
  <c r="L181" i="1" s="1"/>
  <c r="E182" i="1"/>
  <c r="F184" i="1"/>
  <c r="F183" i="1"/>
  <c r="G176" i="1"/>
  <c r="E176" i="1"/>
  <c r="G177" i="1"/>
  <c r="H177" i="1"/>
  <c r="H176" i="1" s="1"/>
  <c r="J177" i="1"/>
  <c r="J176" i="1" s="1"/>
  <c r="K177" i="1"/>
  <c r="K176" i="1" s="1"/>
  <c r="L177" i="1"/>
  <c r="L176" i="1" s="1"/>
  <c r="E177" i="1"/>
  <c r="F179" i="1"/>
  <c r="F180" i="1"/>
  <c r="F178" i="1"/>
  <c r="E151" i="1"/>
  <c r="F174" i="1"/>
  <c r="G174" i="1"/>
  <c r="G151" i="1" s="1"/>
  <c r="J174" i="1"/>
  <c r="K174" i="1"/>
  <c r="L174" i="1"/>
  <c r="E174" i="1"/>
  <c r="F175" i="1"/>
  <c r="F172" i="1"/>
  <c r="G172" i="1"/>
  <c r="H172" i="1"/>
  <c r="J172" i="1"/>
  <c r="K172" i="1"/>
  <c r="L172" i="1"/>
  <c r="E172" i="1"/>
  <c r="F173" i="1"/>
  <c r="G168" i="1"/>
  <c r="H168" i="1"/>
  <c r="J168" i="1"/>
  <c r="K168" i="1"/>
  <c r="L168" i="1"/>
  <c r="E168" i="1"/>
  <c r="F170" i="1"/>
  <c r="F171" i="1"/>
  <c r="F169" i="1"/>
  <c r="F166" i="1"/>
  <c r="G166" i="1"/>
  <c r="H166" i="1"/>
  <c r="J166" i="1"/>
  <c r="K166" i="1"/>
  <c r="L166" i="1"/>
  <c r="E166" i="1"/>
  <c r="F167" i="1"/>
  <c r="G162" i="1"/>
  <c r="H162" i="1"/>
  <c r="J162" i="1"/>
  <c r="K162" i="1"/>
  <c r="L162" i="1"/>
  <c r="E162" i="1"/>
  <c r="F164" i="1"/>
  <c r="F165" i="1"/>
  <c r="F163" i="1"/>
  <c r="F160" i="1"/>
  <c r="G160" i="1"/>
  <c r="H160" i="1"/>
  <c r="J160" i="1"/>
  <c r="K160" i="1"/>
  <c r="L160" i="1"/>
  <c r="E160" i="1"/>
  <c r="F161" i="1"/>
  <c r="F157" i="1"/>
  <c r="G157" i="1"/>
  <c r="H157" i="1"/>
  <c r="J157" i="1"/>
  <c r="K157" i="1"/>
  <c r="L157" i="1"/>
  <c r="E157" i="1"/>
  <c r="F159" i="1"/>
  <c r="F158" i="1"/>
  <c r="G152" i="1"/>
  <c r="H152" i="1"/>
  <c r="J152" i="1"/>
  <c r="K152" i="1"/>
  <c r="L152" i="1"/>
  <c r="E152" i="1"/>
  <c r="F154" i="1"/>
  <c r="F155" i="1"/>
  <c r="F156" i="1"/>
  <c r="F153" i="1"/>
  <c r="E113" i="1"/>
  <c r="G140" i="1"/>
  <c r="H140" i="1"/>
  <c r="J140" i="1"/>
  <c r="K140" i="1"/>
  <c r="L140" i="1"/>
  <c r="E140" i="1"/>
  <c r="F142" i="1"/>
  <c r="F143" i="1"/>
  <c r="F144" i="1"/>
  <c r="F145" i="1"/>
  <c r="F146" i="1"/>
  <c r="F147" i="1"/>
  <c r="F141" i="1"/>
  <c r="F138" i="1"/>
  <c r="G138" i="1"/>
  <c r="H138" i="1"/>
  <c r="J138" i="1"/>
  <c r="K138" i="1"/>
  <c r="L138" i="1"/>
  <c r="E138" i="1"/>
  <c r="F139" i="1"/>
  <c r="F135" i="1"/>
  <c r="G135" i="1"/>
  <c r="H135" i="1"/>
  <c r="J135" i="1"/>
  <c r="K135" i="1"/>
  <c r="L135" i="1"/>
  <c r="E135" i="1"/>
  <c r="F137" i="1"/>
  <c r="F136" i="1"/>
  <c r="F134" i="1"/>
  <c r="F132" i="1"/>
  <c r="G124" i="1"/>
  <c r="H124" i="1"/>
  <c r="J124" i="1"/>
  <c r="K124" i="1"/>
  <c r="L124" i="1"/>
  <c r="E124" i="1"/>
  <c r="F126" i="1"/>
  <c r="F127" i="1"/>
  <c r="F128" i="1"/>
  <c r="F129" i="1"/>
  <c r="F130" i="1"/>
  <c r="F125" i="1"/>
  <c r="F122" i="1"/>
  <c r="G122" i="1"/>
  <c r="G113" i="1" s="1"/>
  <c r="J122" i="1"/>
  <c r="K122" i="1"/>
  <c r="L122" i="1"/>
  <c r="E122" i="1"/>
  <c r="F123" i="1"/>
  <c r="F119" i="1"/>
  <c r="F120" i="1"/>
  <c r="F121" i="1"/>
  <c r="F117" i="1"/>
  <c r="G96" i="1"/>
  <c r="E96" i="1"/>
  <c r="F97" i="1"/>
  <c r="G97" i="1"/>
  <c r="H97" i="1"/>
  <c r="J97" i="1"/>
  <c r="K97" i="1"/>
  <c r="L97" i="1"/>
  <c r="E97" i="1"/>
  <c r="F99" i="1"/>
  <c r="G99" i="1"/>
  <c r="H99" i="1"/>
  <c r="J99" i="1"/>
  <c r="K99" i="1"/>
  <c r="L99" i="1"/>
  <c r="E99" i="1"/>
  <c r="F111" i="1"/>
  <c r="G111" i="1"/>
  <c r="H111" i="1"/>
  <c r="J111" i="1"/>
  <c r="K111" i="1"/>
  <c r="L111" i="1"/>
  <c r="E111" i="1"/>
  <c r="F112" i="1"/>
  <c r="F107" i="1"/>
  <c r="F108" i="1"/>
  <c r="F109" i="1"/>
  <c r="F105" i="1"/>
  <c r="F100" i="1"/>
  <c r="F98" i="1"/>
  <c r="E63" i="1"/>
  <c r="F93" i="1"/>
  <c r="G93" i="1"/>
  <c r="J93" i="1"/>
  <c r="J63" i="1" s="1"/>
  <c r="K93" i="1"/>
  <c r="L93" i="1"/>
  <c r="E93" i="1"/>
  <c r="F95" i="1"/>
  <c r="F94" i="1"/>
  <c r="F89" i="1"/>
  <c r="F90" i="1"/>
  <c r="F88" i="1"/>
  <c r="G76" i="1"/>
  <c r="H76" i="1"/>
  <c r="I76" i="1" s="1"/>
  <c r="J76" i="1"/>
  <c r="K76" i="1"/>
  <c r="L76" i="1"/>
  <c r="E76" i="1"/>
  <c r="F78" i="1"/>
  <c r="F79" i="1"/>
  <c r="F80" i="1"/>
  <c r="F81" i="1"/>
  <c r="F82" i="1"/>
  <c r="F83" i="1"/>
  <c r="F84" i="1"/>
  <c r="F85" i="1"/>
  <c r="F86" i="1"/>
  <c r="F77" i="1"/>
  <c r="F69" i="1"/>
  <c r="F70" i="1"/>
  <c r="F71" i="1"/>
  <c r="F72" i="1"/>
  <c r="F74" i="1"/>
  <c r="F75" i="1"/>
  <c r="F68" i="1"/>
  <c r="F65" i="1"/>
  <c r="F59" i="1"/>
  <c r="G59" i="1"/>
  <c r="H59" i="1"/>
  <c r="L59" i="1"/>
  <c r="F61" i="1"/>
  <c r="F56" i="1"/>
  <c r="G56" i="1"/>
  <c r="J56" i="1"/>
  <c r="E56" i="1"/>
  <c r="F57" i="1"/>
  <c r="G57" i="1"/>
  <c r="H57" i="1"/>
  <c r="H56" i="1" s="1"/>
  <c r="J57" i="1"/>
  <c r="K57" i="1"/>
  <c r="K56" i="1" s="1"/>
  <c r="L57" i="1"/>
  <c r="L56" i="1" s="1"/>
  <c r="E57" i="1"/>
  <c r="F58" i="1"/>
  <c r="F55" i="1"/>
  <c r="F43" i="1"/>
  <c r="F38" i="1"/>
  <c r="G38" i="1"/>
  <c r="K38" i="1"/>
  <c r="L38" i="1"/>
  <c r="F39" i="1"/>
  <c r="G39" i="1"/>
  <c r="H39" i="1"/>
  <c r="H38" i="1" s="1"/>
  <c r="J39" i="1"/>
  <c r="J38" i="1" s="1"/>
  <c r="K39" i="1"/>
  <c r="L39" i="1"/>
  <c r="E38" i="1"/>
  <c r="E39" i="1"/>
  <c r="F40" i="1"/>
  <c r="F27" i="1"/>
  <c r="F29" i="1"/>
  <c r="F30" i="1"/>
  <c r="F246" i="1" s="1"/>
  <c r="F31" i="1"/>
  <c r="F34" i="1"/>
  <c r="F35" i="1"/>
  <c r="F36" i="1"/>
  <c r="F37" i="1"/>
  <c r="F26" i="1"/>
  <c r="J24" i="1"/>
  <c r="F20" i="1"/>
  <c r="F13" i="1"/>
  <c r="G13" i="1"/>
  <c r="H13" i="1"/>
  <c r="J13" i="1"/>
  <c r="K13" i="1"/>
  <c r="F14" i="1"/>
  <c r="G14" i="1"/>
  <c r="H14" i="1"/>
  <c r="J14" i="1"/>
  <c r="K14" i="1"/>
  <c r="L14" i="1"/>
  <c r="L13" i="1" s="1"/>
  <c r="E13" i="1"/>
  <c r="E14" i="1"/>
  <c r="F15" i="1"/>
  <c r="F12" i="1"/>
  <c r="F6" i="1" s="1"/>
  <c r="F10" i="1"/>
  <c r="G6" i="1"/>
  <c r="E6" i="1"/>
  <c r="F7" i="1"/>
  <c r="G7" i="1"/>
  <c r="H7" i="1"/>
  <c r="J7" i="1"/>
  <c r="K7" i="1"/>
  <c r="K6" i="1" s="1"/>
  <c r="L7" i="1"/>
  <c r="L6" i="1" s="1"/>
  <c r="E7" i="1"/>
  <c r="F8" i="1"/>
  <c r="H171" i="9"/>
  <c r="H172" i="9"/>
  <c r="H170" i="9"/>
  <c r="H158" i="9"/>
  <c r="H159" i="9"/>
  <c r="H160" i="9"/>
  <c r="H161" i="9"/>
  <c r="H162" i="9"/>
  <c r="H163" i="9"/>
  <c r="H164" i="9"/>
  <c r="H165" i="9"/>
  <c r="H166" i="9"/>
  <c r="H167" i="9"/>
  <c r="H168" i="9"/>
  <c r="H157" i="9"/>
  <c r="H155" i="9"/>
  <c r="H152" i="9"/>
  <c r="H150" i="9"/>
  <c r="H139" i="9"/>
  <c r="H140" i="9"/>
  <c r="H141" i="9"/>
  <c r="H142" i="9"/>
  <c r="H143" i="9"/>
  <c r="H144" i="9"/>
  <c r="H145" i="9"/>
  <c r="H146" i="9"/>
  <c r="H137" i="9"/>
  <c r="H136" i="9"/>
  <c r="H120" i="9"/>
  <c r="H121" i="9"/>
  <c r="H122" i="9"/>
  <c r="H123" i="9"/>
  <c r="H124" i="9"/>
  <c r="H125" i="9"/>
  <c r="H126" i="9"/>
  <c r="H127" i="9"/>
  <c r="H128" i="9"/>
  <c r="H129" i="9"/>
  <c r="H130" i="9"/>
  <c r="H131" i="9"/>
  <c r="H132" i="9"/>
  <c r="H133" i="9"/>
  <c r="H134" i="9"/>
  <c r="H119" i="9"/>
  <c r="H117" i="9"/>
  <c r="H114" i="9"/>
  <c r="H109" i="9"/>
  <c r="H102" i="9"/>
  <c r="H103" i="9"/>
  <c r="H104" i="9"/>
  <c r="H105" i="9"/>
  <c r="H106" i="9"/>
  <c r="H107" i="9"/>
  <c r="H101" i="9"/>
  <c r="H85" i="9"/>
  <c r="H86" i="9"/>
  <c r="H87" i="9"/>
  <c r="H88" i="9"/>
  <c r="H89" i="9"/>
  <c r="H90" i="9"/>
  <c r="H91" i="9"/>
  <c r="H92" i="9"/>
  <c r="H93" i="9"/>
  <c r="H94" i="9"/>
  <c r="H95" i="9"/>
  <c r="H96" i="9"/>
  <c r="H97" i="9"/>
  <c r="H84" i="9"/>
  <c r="H81" i="9"/>
  <c r="H82" i="9"/>
  <c r="H80" i="9"/>
  <c r="H78" i="9"/>
  <c r="H76" i="9"/>
  <c r="H72" i="9"/>
  <c r="H69" i="9"/>
  <c r="H68" i="9"/>
  <c r="H62" i="9"/>
  <c r="H63" i="9"/>
  <c r="H64" i="9"/>
  <c r="H65" i="9"/>
  <c r="H66" i="9"/>
  <c r="H61" i="9"/>
  <c r="H59" i="9"/>
  <c r="H54" i="9"/>
  <c r="H55" i="9"/>
  <c r="H53" i="9"/>
  <c r="H49" i="9"/>
  <c r="H46" i="9"/>
  <c r="H47" i="9"/>
  <c r="H45" i="9"/>
  <c r="H41" i="9"/>
  <c r="H40" i="9"/>
  <c r="H31" i="9"/>
  <c r="H32" i="9"/>
  <c r="H33" i="9"/>
  <c r="H34" i="9"/>
  <c r="H35" i="9"/>
  <c r="H36" i="9"/>
  <c r="H30" i="9"/>
  <c r="H22" i="9"/>
  <c r="H23" i="9"/>
  <c r="H24" i="9"/>
  <c r="H25" i="9"/>
  <c r="H26" i="9"/>
  <c r="H27" i="9"/>
  <c r="H28" i="9"/>
  <c r="H21" i="9"/>
  <c r="H15" i="9"/>
  <c r="H14" i="9"/>
  <c r="H11" i="9"/>
  <c r="F20" i="7"/>
  <c r="E20" i="7"/>
  <c r="J231" i="1" l="1"/>
  <c r="I224" i="1"/>
  <c r="L206" i="1"/>
  <c r="L231" i="1" s="1"/>
  <c r="K206" i="1"/>
  <c r="K231" i="1" s="1"/>
  <c r="H206" i="1"/>
  <c r="F87" i="1"/>
  <c r="L185" i="1"/>
  <c r="J185" i="1"/>
  <c r="J151" i="1"/>
  <c r="K113" i="1"/>
  <c r="L113" i="1"/>
  <c r="J113" i="1"/>
  <c r="L96" i="1"/>
  <c r="K96" i="1"/>
  <c r="J96" i="1"/>
  <c r="F241" i="1"/>
  <c r="F237" i="1"/>
  <c r="F245" i="1"/>
  <c r="J41" i="1"/>
  <c r="L41" i="1"/>
  <c r="K41" i="1"/>
  <c r="K16" i="1"/>
  <c r="J16" i="1"/>
  <c r="F248" i="1"/>
  <c r="F250" i="1"/>
  <c r="F239" i="1"/>
  <c r="F191" i="1"/>
  <c r="F177" i="1"/>
  <c r="F176" i="1" s="1"/>
  <c r="F207" i="1"/>
  <c r="F206" i="1" s="1"/>
  <c r="F186" i="1"/>
  <c r="F140" i="1"/>
  <c r="F152" i="1"/>
  <c r="F168" i="1"/>
  <c r="F162" i="1"/>
  <c r="H185" i="1"/>
  <c r="F124" i="1"/>
  <c r="F114" i="1"/>
  <c r="H151" i="1"/>
  <c r="H113" i="1"/>
  <c r="I113" i="1" s="1"/>
  <c r="F101" i="1"/>
  <c r="F96" i="1" s="1"/>
  <c r="L63" i="1"/>
  <c r="F76" i="1"/>
  <c r="K63" i="1"/>
  <c r="H96" i="1"/>
  <c r="I96" i="1" s="1"/>
  <c r="G63" i="1"/>
  <c r="F67" i="1"/>
  <c r="H63" i="1"/>
  <c r="H41" i="1"/>
  <c r="I41" i="1" s="1"/>
  <c r="F45" i="1"/>
  <c r="F41" i="1" s="1"/>
  <c r="F25" i="1"/>
  <c r="F24" i="1" s="1"/>
  <c r="H6" i="1"/>
  <c r="D20" i="7"/>
  <c r="D21" i="7" s="1"/>
  <c r="G20" i="7"/>
  <c r="F21" i="7" s="1"/>
  <c r="G114" i="4"/>
  <c r="G112" i="4"/>
  <c r="G109" i="4"/>
  <c r="G100" i="4"/>
  <c r="G97" i="4"/>
  <c r="G94" i="4"/>
  <c r="G9" i="4"/>
  <c r="G11" i="4"/>
  <c r="G13" i="4"/>
  <c r="G17" i="4"/>
  <c r="G24" i="4"/>
  <c r="G26" i="4"/>
  <c r="G29" i="4"/>
  <c r="G34" i="4"/>
  <c r="G36" i="4"/>
  <c r="G40" i="4"/>
  <c r="G43" i="4"/>
  <c r="G48" i="4"/>
  <c r="G50" i="4"/>
  <c r="G52" i="4"/>
  <c r="G54" i="4"/>
  <c r="G58" i="4"/>
  <c r="G61" i="4"/>
  <c r="G63" i="4"/>
  <c r="G66" i="4"/>
  <c r="G68" i="4"/>
  <c r="G69" i="4"/>
  <c r="G73" i="4"/>
  <c r="G75" i="4"/>
  <c r="G78" i="4"/>
  <c r="G81" i="4"/>
  <c r="G83" i="4"/>
  <c r="G86" i="4"/>
  <c r="I206" i="1" l="1"/>
  <c r="H231" i="1"/>
  <c r="I231" i="1" s="1"/>
  <c r="F243" i="1"/>
  <c r="I63" i="1"/>
  <c r="F233" i="1"/>
  <c r="F185" i="1"/>
  <c r="F151" i="1"/>
  <c r="F113" i="1"/>
  <c r="F63" i="1"/>
  <c r="G32" i="5"/>
  <c r="G30" i="5"/>
  <c r="G28" i="5"/>
  <c r="G26" i="5"/>
  <c r="G25" i="5"/>
  <c r="G22" i="5"/>
  <c r="G23" i="5"/>
  <c r="G21" i="5"/>
  <c r="G17" i="5"/>
  <c r="G18" i="5"/>
  <c r="G19" i="5"/>
  <c r="G16" i="5"/>
  <c r="G9" i="5"/>
  <c r="F7" i="5"/>
  <c r="E7" i="5"/>
  <c r="G7" i="5" s="1"/>
  <c r="G25" i="11"/>
  <c r="G26" i="11"/>
  <c r="G27" i="11"/>
  <c r="G28" i="11"/>
  <c r="G29" i="11"/>
  <c r="G30" i="11"/>
  <c r="G31" i="11"/>
  <c r="G32" i="11"/>
  <c r="G33" i="11"/>
  <c r="G34" i="11"/>
  <c r="G35" i="11"/>
  <c r="G24" i="11"/>
  <c r="G22" i="11"/>
  <c r="G21" i="11"/>
  <c r="G20" i="11"/>
  <c r="G13" i="11"/>
  <c r="I81" i="3"/>
  <c r="H84" i="3"/>
  <c r="J84" i="3" s="1"/>
  <c r="I84" i="3"/>
  <c r="G84" i="3"/>
  <c r="H83" i="3"/>
  <c r="J83" i="3" s="1"/>
  <c r="I83" i="3"/>
  <c r="G83" i="3"/>
  <c r="J70" i="3"/>
  <c r="J69" i="3"/>
  <c r="H67" i="3"/>
  <c r="I67" i="3"/>
  <c r="I82" i="3" s="1"/>
  <c r="J78" i="3"/>
  <c r="J77" i="3"/>
  <c r="J76" i="3"/>
  <c r="J75" i="3"/>
  <c r="J62" i="3"/>
  <c r="J61" i="3"/>
  <c r="J60" i="3"/>
  <c r="J59" i="3"/>
  <c r="J58" i="3"/>
  <c r="J57" i="3"/>
  <c r="J55" i="3"/>
  <c r="J54" i="3"/>
  <c r="J53" i="3"/>
  <c r="J52" i="3"/>
  <c r="J51" i="3"/>
  <c r="J46" i="3"/>
  <c r="J45" i="3"/>
  <c r="J44" i="3"/>
  <c r="J43" i="3"/>
  <c r="J42" i="3"/>
  <c r="J41" i="3"/>
  <c r="J40" i="3"/>
  <c r="J39" i="3"/>
  <c r="J38" i="3"/>
  <c r="J37" i="3"/>
  <c r="J36" i="3"/>
  <c r="J35" i="3"/>
  <c r="J34" i="3"/>
  <c r="J33" i="3"/>
  <c r="J32" i="3"/>
  <c r="J31" i="3"/>
  <c r="J30" i="3"/>
  <c r="J29" i="3"/>
  <c r="J27" i="3"/>
  <c r="J26" i="3"/>
  <c r="H24" i="3"/>
  <c r="J24" i="3" s="1"/>
  <c r="J23" i="3"/>
  <c r="J22" i="3"/>
  <c r="J21" i="3"/>
  <c r="J20" i="3"/>
  <c r="J19" i="3"/>
  <c r="J18" i="3"/>
  <c r="J17" i="3"/>
  <c r="J16" i="3"/>
  <c r="H15" i="3"/>
  <c r="J15" i="3" s="1"/>
  <c r="J14" i="3"/>
  <c r="J13" i="3"/>
  <c r="J10" i="3"/>
  <c r="J8" i="3"/>
  <c r="I79" i="3" l="1"/>
  <c r="J61" i="8"/>
  <c r="J57" i="8"/>
  <c r="J53" i="8"/>
  <c r="J45" i="8"/>
  <c r="J46" i="8"/>
  <c r="J47" i="8"/>
  <c r="J48" i="8"/>
  <c r="J49" i="8"/>
  <c r="J50" i="8"/>
  <c r="J44" i="8"/>
  <c r="J43" i="8"/>
  <c r="J42" i="8"/>
  <c r="J41" i="8"/>
  <c r="J38" i="8"/>
  <c r="J35" i="8"/>
  <c r="J32" i="8"/>
  <c r="J28" i="8"/>
  <c r="J25" i="8"/>
  <c r="J22" i="8"/>
  <c r="J21" i="8"/>
  <c r="J17" i="8"/>
  <c r="J14" i="8"/>
  <c r="K19" i="8"/>
  <c r="K36" i="8"/>
  <c r="K33" i="8"/>
  <c r="K51" i="8"/>
  <c r="K54" i="8"/>
  <c r="K55" i="8"/>
  <c r="K30" i="8"/>
  <c r="K58" i="8"/>
  <c r="K59" i="8"/>
  <c r="K39" i="8"/>
  <c r="K26" i="8"/>
  <c r="K23" i="8"/>
  <c r="K18" i="8" s="1"/>
  <c r="G60" i="8"/>
  <c r="G56" i="8"/>
  <c r="G52" i="8"/>
  <c r="G40" i="8"/>
  <c r="G37" i="8"/>
  <c r="G34" i="8"/>
  <c r="G31" i="8"/>
  <c r="G27" i="8"/>
  <c r="G24" i="8"/>
  <c r="G20" i="8"/>
  <c r="G11" i="8"/>
  <c r="G10" i="8"/>
  <c r="K106" i="6"/>
  <c r="K105" i="6" s="1"/>
  <c r="K110" i="6" s="1"/>
  <c r="K17" i="6"/>
  <c r="K16" i="6" s="1"/>
  <c r="K41" i="6"/>
  <c r="K49" i="6"/>
  <c r="K46" i="6"/>
  <c r="K53" i="6"/>
  <c r="K60" i="6"/>
  <c r="K36" i="6"/>
  <c r="K32" i="6"/>
  <c r="J90" i="6"/>
  <c r="J91" i="6"/>
  <c r="J89" i="6"/>
  <c r="J77" i="6"/>
  <c r="J78" i="6"/>
  <c r="J79" i="6"/>
  <c r="J80" i="6"/>
  <c r="J81" i="6"/>
  <c r="J82" i="6"/>
  <c r="J83" i="6"/>
  <c r="J84" i="6"/>
  <c r="J85" i="6"/>
  <c r="J86" i="6"/>
  <c r="J76" i="6"/>
  <c r="J63" i="6"/>
  <c r="J64" i="6"/>
  <c r="J65" i="6"/>
  <c r="J66" i="6"/>
  <c r="J67" i="6"/>
  <c r="J68" i="6"/>
  <c r="J69" i="6"/>
  <c r="J70" i="6"/>
  <c r="J71" i="6"/>
  <c r="J72" i="6"/>
  <c r="J73" i="6"/>
  <c r="J62" i="6"/>
  <c r="J58" i="6"/>
  <c r="J55" i="6"/>
  <c r="J48" i="6"/>
  <c r="J52" i="6"/>
  <c r="J51" i="6"/>
  <c r="J44" i="6"/>
  <c r="J43" i="6"/>
  <c r="J40" i="6"/>
  <c r="J39" i="6"/>
  <c r="J38" i="6"/>
  <c r="J35" i="6"/>
  <c r="J34" i="6"/>
  <c r="J29" i="6"/>
  <c r="J30" i="6"/>
  <c r="J28" i="6"/>
  <c r="J20" i="6"/>
  <c r="J21" i="6"/>
  <c r="J22" i="6"/>
  <c r="J24" i="6"/>
  <c r="J19" i="6"/>
  <c r="J11" i="6"/>
  <c r="J12" i="6"/>
  <c r="J13" i="6"/>
  <c r="J14" i="6"/>
  <c r="J15" i="6"/>
  <c r="J10" i="6"/>
  <c r="K8" i="6"/>
  <c r="J109" i="6"/>
  <c r="J108" i="6"/>
  <c r="G107" i="6"/>
  <c r="K87" i="6"/>
  <c r="K74" i="6"/>
  <c r="K56" i="6"/>
  <c r="K26" i="6"/>
  <c r="K25" i="6" s="1"/>
  <c r="G88" i="6"/>
  <c r="G75" i="6"/>
  <c r="G61" i="6"/>
  <c r="G57" i="6"/>
  <c r="G54" i="6"/>
  <c r="G47" i="6"/>
  <c r="G50" i="6"/>
  <c r="G42" i="6"/>
  <c r="G37" i="6"/>
  <c r="G33" i="6"/>
  <c r="G18" i="6"/>
  <c r="G27" i="6"/>
  <c r="F26" i="6"/>
  <c r="F25" i="6" s="1"/>
  <c r="G9" i="6"/>
  <c r="G122" i="6"/>
  <c r="F119" i="6"/>
  <c r="F118" i="6" l="1"/>
  <c r="K31" i="6"/>
  <c r="K45" i="6"/>
  <c r="K29" i="8"/>
  <c r="K62" i="8" s="1"/>
  <c r="K59" i="6"/>
  <c r="G12" i="14"/>
  <c r="G11" i="14"/>
  <c r="E18" i="14"/>
  <c r="G58" i="14"/>
  <c r="G24" i="14"/>
  <c r="G25" i="14"/>
  <c r="G26" i="14"/>
  <c r="F56" i="14"/>
  <c r="F52" i="14"/>
  <c r="F47" i="14"/>
  <c r="F49" i="14"/>
  <c r="F48" i="14"/>
  <c r="F55" i="14" s="1"/>
  <c r="F46" i="14"/>
  <c r="F45" i="14"/>
  <c r="F29" i="14"/>
  <c r="F28" i="14" s="1"/>
  <c r="F36" i="14"/>
  <c r="F32" i="14"/>
  <c r="F53" i="14" s="1"/>
  <c r="F23" i="14"/>
  <c r="K100" i="6" l="1"/>
  <c r="K111" i="6" s="1"/>
  <c r="F129" i="6"/>
  <c r="F44" i="14"/>
  <c r="F20" i="14"/>
  <c r="F50" i="14"/>
  <c r="F43" i="14"/>
  <c r="F18" i="14" l="1"/>
  <c r="F17" i="14" s="1"/>
  <c r="F61" i="14" s="1"/>
  <c r="D66" i="14"/>
  <c r="D69" i="14" s="1"/>
  <c r="F10" i="14"/>
  <c r="H10" i="14"/>
  <c r="H9" i="14" s="1"/>
  <c r="H14" i="14" s="1"/>
  <c r="I10" i="14"/>
  <c r="I9" i="14" s="1"/>
  <c r="I14" i="14" s="1"/>
  <c r="G60" i="14"/>
  <c r="G57" i="14"/>
  <c r="E47" i="14"/>
  <c r="E52" i="14"/>
  <c r="E44" i="14"/>
  <c r="G28" i="14"/>
  <c r="G27" i="14"/>
  <c r="G23" i="14"/>
  <c r="G22" i="14"/>
  <c r="H20" i="14"/>
  <c r="G19" i="14"/>
  <c r="E10" i="14"/>
  <c r="E9" i="14" s="1"/>
  <c r="E14" i="14" s="1"/>
  <c r="H18" i="14" l="1"/>
  <c r="H17" i="14" s="1"/>
  <c r="H61" i="14" s="1"/>
  <c r="F9" i="14"/>
  <c r="G10" i="14"/>
  <c r="E45" i="14"/>
  <c r="G43" i="14" s="1"/>
  <c r="E51" i="14"/>
  <c r="G36" i="14"/>
  <c r="F14" i="14" l="1"/>
  <c r="G9" i="14"/>
  <c r="G14" i="14" s="1"/>
  <c r="G50" i="14"/>
  <c r="G20" i="14"/>
  <c r="E17" i="14" l="1"/>
  <c r="G18" i="14" l="1"/>
  <c r="E61" i="14"/>
  <c r="G17" i="14"/>
  <c r="G61" i="14" l="1"/>
  <c r="J12" i="12" l="1"/>
  <c r="G11" i="12"/>
  <c r="F18" i="13" l="1"/>
  <c r="C18" i="13"/>
  <c r="C26" i="13" s="1"/>
  <c r="F17" i="13"/>
  <c r="C17" i="13"/>
  <c r="C13" i="13"/>
  <c r="I10" i="12"/>
  <c r="J10" i="12" s="1"/>
  <c r="H10" i="12"/>
  <c r="F10" i="12"/>
  <c r="E10" i="12"/>
  <c r="E9" i="12" s="1"/>
  <c r="E13" i="12" s="1"/>
  <c r="I9" i="12"/>
  <c r="H9" i="12"/>
  <c r="H13" i="12" s="1"/>
  <c r="C27" i="13" l="1"/>
  <c r="I13" i="12"/>
  <c r="J13" i="12" s="1"/>
  <c r="J9" i="12"/>
  <c r="F9" i="12"/>
  <c r="G10" i="12"/>
  <c r="F26" i="13"/>
  <c r="F27" i="13" s="1"/>
  <c r="F13" i="12" l="1"/>
  <c r="G13" i="12" s="1"/>
  <c r="G9" i="12"/>
  <c r="F23" i="11"/>
  <c r="E23" i="11"/>
  <c r="F19" i="11"/>
  <c r="E19" i="11"/>
  <c r="F12" i="11"/>
  <c r="E12" i="11"/>
  <c r="E11" i="11" s="1"/>
  <c r="E14" i="11" s="1"/>
  <c r="F11" i="11" l="1"/>
  <c r="G12" i="11"/>
  <c r="G23" i="11"/>
  <c r="G19" i="11"/>
  <c r="F18" i="11"/>
  <c r="E18" i="11"/>
  <c r="E36" i="11" s="1"/>
  <c r="C114" i="10"/>
  <c r="D109" i="10"/>
  <c r="D102" i="10"/>
  <c r="D97" i="10"/>
  <c r="D90" i="10"/>
  <c r="D81" i="10"/>
  <c r="E70" i="10"/>
  <c r="D70" i="10"/>
  <c r="D65" i="10"/>
  <c r="D60" i="10"/>
  <c r="D53" i="10"/>
  <c r="D50" i="10"/>
  <c r="D44" i="10"/>
  <c r="D39" i="10"/>
  <c r="D29" i="10"/>
  <c r="D23" i="10"/>
  <c r="D17" i="10"/>
  <c r="D10" i="10"/>
  <c r="D4" i="10"/>
  <c r="G169" i="9"/>
  <c r="H169" i="9" s="1"/>
  <c r="F169" i="9"/>
  <c r="G156" i="9"/>
  <c r="F156" i="9"/>
  <c r="G154" i="9"/>
  <c r="H154" i="9" s="1"/>
  <c r="F154" i="9"/>
  <c r="G151" i="9"/>
  <c r="H151" i="9" s="1"/>
  <c r="F151" i="9"/>
  <c r="G149" i="9"/>
  <c r="F149" i="9"/>
  <c r="F148" i="9"/>
  <c r="G135" i="9"/>
  <c r="H135" i="9" s="1"/>
  <c r="F135" i="9"/>
  <c r="G118" i="9"/>
  <c r="H118" i="9" s="1"/>
  <c r="F118" i="9"/>
  <c r="G116" i="9"/>
  <c r="H116" i="9" s="1"/>
  <c r="F116" i="9"/>
  <c r="G113" i="9"/>
  <c r="H113" i="9" s="1"/>
  <c r="F113" i="9"/>
  <c r="G111" i="9"/>
  <c r="F111" i="9"/>
  <c r="F110" i="9" s="1"/>
  <c r="G108" i="9"/>
  <c r="H108" i="9" s="1"/>
  <c r="F108" i="9"/>
  <c r="G100" i="9"/>
  <c r="H100" i="9" s="1"/>
  <c r="F100" i="9"/>
  <c r="G98" i="9"/>
  <c r="F98" i="9"/>
  <c r="G83" i="9"/>
  <c r="F83" i="9"/>
  <c r="G79" i="9"/>
  <c r="H79" i="9" s="1"/>
  <c r="F79" i="9"/>
  <c r="G77" i="9"/>
  <c r="H77" i="9" s="1"/>
  <c r="F77" i="9"/>
  <c r="G75" i="9"/>
  <c r="H75" i="9" s="1"/>
  <c r="F75" i="9"/>
  <c r="G71" i="9"/>
  <c r="F71" i="9"/>
  <c r="F70" i="9" s="1"/>
  <c r="G67" i="9"/>
  <c r="H67" i="9" s="1"/>
  <c r="F67" i="9"/>
  <c r="G60" i="9"/>
  <c r="F60" i="9"/>
  <c r="G58" i="9"/>
  <c r="H58" i="9" s="1"/>
  <c r="F58" i="9"/>
  <c r="G52" i="9"/>
  <c r="F52" i="9"/>
  <c r="F51" i="9" s="1"/>
  <c r="F50" i="9" s="1"/>
  <c r="G48" i="9"/>
  <c r="H48" i="9" s="1"/>
  <c r="F48" i="9"/>
  <c r="G44" i="9"/>
  <c r="H44" i="9" s="1"/>
  <c r="F44" i="9"/>
  <c r="G39" i="9"/>
  <c r="F39" i="9"/>
  <c r="F38" i="9" s="1"/>
  <c r="F37" i="9" s="1"/>
  <c r="G29" i="9"/>
  <c r="H29" i="9" s="1"/>
  <c r="F29" i="9"/>
  <c r="G20" i="9"/>
  <c r="F20" i="9"/>
  <c r="F19" i="9" s="1"/>
  <c r="F18" i="9" s="1"/>
  <c r="G16" i="9"/>
  <c r="F16" i="9"/>
  <c r="F176" i="9" s="1"/>
  <c r="G13" i="9"/>
  <c r="H13" i="9" s="1"/>
  <c r="F13" i="9"/>
  <c r="F8" i="9" s="1"/>
  <c r="F7" i="9" s="1"/>
  <c r="G9" i="9"/>
  <c r="F9" i="9"/>
  <c r="I55" i="8"/>
  <c r="H55" i="8"/>
  <c r="H54" i="8" s="1"/>
  <c r="F55" i="8"/>
  <c r="E55" i="8"/>
  <c r="E54" i="8" s="1"/>
  <c r="I54" i="8"/>
  <c r="I59" i="8"/>
  <c r="H59" i="8"/>
  <c r="H58" i="8" s="1"/>
  <c r="F59" i="8"/>
  <c r="E59" i="8"/>
  <c r="E58" i="8" s="1"/>
  <c r="I51" i="8"/>
  <c r="H51" i="8"/>
  <c r="F51" i="8"/>
  <c r="E51" i="8"/>
  <c r="I39" i="8"/>
  <c r="H39" i="8"/>
  <c r="F39" i="8"/>
  <c r="E39" i="8"/>
  <c r="I36" i="8"/>
  <c r="H36" i="8"/>
  <c r="F36" i="8"/>
  <c r="E36" i="8"/>
  <c r="I33" i="8"/>
  <c r="H33" i="8"/>
  <c r="F33" i="8"/>
  <c r="E33" i="8"/>
  <c r="I30" i="8"/>
  <c r="H30" i="8"/>
  <c r="H29" i="8" s="1"/>
  <c r="F30" i="8"/>
  <c r="E30" i="8"/>
  <c r="E29" i="8" s="1"/>
  <c r="I26" i="8"/>
  <c r="H26" i="8"/>
  <c r="F26" i="8"/>
  <c r="E26" i="8"/>
  <c r="I23" i="8"/>
  <c r="H23" i="8"/>
  <c r="F23" i="8"/>
  <c r="E23" i="8"/>
  <c r="I19" i="8"/>
  <c r="H19" i="8"/>
  <c r="F19" i="8"/>
  <c r="E19" i="8"/>
  <c r="E18" i="8" s="1"/>
  <c r="I16" i="8"/>
  <c r="H16" i="8"/>
  <c r="H15" i="8" s="1"/>
  <c r="I13" i="8"/>
  <c r="H13" i="8"/>
  <c r="H12" i="8" s="1"/>
  <c r="F9" i="8"/>
  <c r="E9" i="8"/>
  <c r="E8" i="8" s="1"/>
  <c r="G38" i="9" l="1"/>
  <c r="H39" i="9"/>
  <c r="G110" i="9"/>
  <c r="H110" i="9" s="1"/>
  <c r="G70" i="9"/>
  <c r="H70" i="9" s="1"/>
  <c r="H71" i="9"/>
  <c r="G8" i="9"/>
  <c r="H9" i="9"/>
  <c r="G148" i="9"/>
  <c r="H148" i="9" s="1"/>
  <c r="H149" i="9"/>
  <c r="G176" i="9"/>
  <c r="H176" i="9" s="1"/>
  <c r="G153" i="9"/>
  <c r="H153" i="9" s="1"/>
  <c r="H156" i="9"/>
  <c r="G51" i="9"/>
  <c r="H52" i="9"/>
  <c r="G43" i="9"/>
  <c r="G19" i="9"/>
  <c r="H20" i="9"/>
  <c r="G74" i="9"/>
  <c r="H74" i="9" s="1"/>
  <c r="H83" i="9"/>
  <c r="G57" i="9"/>
  <c r="H60" i="9"/>
  <c r="F57" i="9"/>
  <c r="F56" i="9" s="1"/>
  <c r="F43" i="9"/>
  <c r="F42" i="9" s="1"/>
  <c r="F115" i="9"/>
  <c r="F153" i="9"/>
  <c r="F147" i="9" s="1"/>
  <c r="F74" i="9"/>
  <c r="G115" i="9"/>
  <c r="F36" i="11"/>
  <c r="G36" i="11" s="1"/>
  <c r="G18" i="11"/>
  <c r="F14" i="11"/>
  <c r="G11" i="11"/>
  <c r="F58" i="8"/>
  <c r="G58" i="8" s="1"/>
  <c r="G59" i="8"/>
  <c r="J54" i="8"/>
  <c r="J55" i="8"/>
  <c r="I12" i="8"/>
  <c r="J12" i="8" s="1"/>
  <c r="J13" i="8"/>
  <c r="I15" i="8"/>
  <c r="J15" i="8" s="1"/>
  <c r="J16" i="8"/>
  <c r="J19" i="8"/>
  <c r="J30" i="8"/>
  <c r="J33" i="8"/>
  <c r="J36" i="8"/>
  <c r="J39" i="8"/>
  <c r="J51" i="8"/>
  <c r="I58" i="8"/>
  <c r="J58" i="8" s="1"/>
  <c r="J59" i="8"/>
  <c r="F54" i="8"/>
  <c r="G54" i="8" s="1"/>
  <c r="G55" i="8"/>
  <c r="I29" i="8"/>
  <c r="J29" i="8" s="1"/>
  <c r="I18" i="8"/>
  <c r="J18" i="8" s="1"/>
  <c r="G19" i="8"/>
  <c r="G23" i="8"/>
  <c r="G26" i="8"/>
  <c r="G30" i="8"/>
  <c r="G33" i="8"/>
  <c r="G36" i="8"/>
  <c r="G39" i="8"/>
  <c r="G51" i="8"/>
  <c r="F8" i="8"/>
  <c r="G8" i="8" s="1"/>
  <c r="G9" i="8"/>
  <c r="F29" i="8"/>
  <c r="G29" i="8" s="1"/>
  <c r="F18" i="8"/>
  <c r="H18" i="8"/>
  <c r="H62" i="8" s="1"/>
  <c r="E62" i="8"/>
  <c r="D114" i="10"/>
  <c r="E4" i="10"/>
  <c r="E114" i="10" s="1"/>
  <c r="G37" i="9" l="1"/>
  <c r="H37" i="9" s="1"/>
  <c r="H38" i="9"/>
  <c r="G7" i="9"/>
  <c r="H7" i="9" s="1"/>
  <c r="H8" i="9"/>
  <c r="G147" i="9"/>
  <c r="H147" i="9" s="1"/>
  <c r="G50" i="9"/>
  <c r="H50" i="9" s="1"/>
  <c r="H51" i="9"/>
  <c r="G42" i="9"/>
  <c r="H42" i="9" s="1"/>
  <c r="H43" i="9"/>
  <c r="G18" i="9"/>
  <c r="H18" i="9" s="1"/>
  <c r="H19" i="9"/>
  <c r="G56" i="9"/>
  <c r="H56" i="9" s="1"/>
  <c r="H57" i="9"/>
  <c r="G73" i="9"/>
  <c r="H73" i="9" s="1"/>
  <c r="H115" i="9"/>
  <c r="F73" i="9"/>
  <c r="F173" i="9" s="1"/>
  <c r="F175" i="9" s="1"/>
  <c r="G14" i="11"/>
  <c r="I62" i="8"/>
  <c r="J62" i="8" s="1"/>
  <c r="F62" i="8"/>
  <c r="G62" i="8" s="1"/>
  <c r="G18" i="8"/>
  <c r="G173" i="9" l="1"/>
  <c r="H173" i="9" s="1"/>
  <c r="E119" i="6"/>
  <c r="I106" i="6"/>
  <c r="H106" i="6"/>
  <c r="H105" i="6" s="1"/>
  <c r="H110" i="6" s="1"/>
  <c r="F106" i="6"/>
  <c r="E106" i="6"/>
  <c r="E105" i="6" s="1"/>
  <c r="E110" i="6" s="1"/>
  <c r="J92" i="6"/>
  <c r="I92" i="6"/>
  <c r="H92" i="6"/>
  <c r="F92" i="6"/>
  <c r="E92" i="6"/>
  <c r="I87" i="6"/>
  <c r="H87" i="6"/>
  <c r="F87" i="6"/>
  <c r="E87" i="6"/>
  <c r="I74" i="6"/>
  <c r="H74" i="6"/>
  <c r="F74" i="6"/>
  <c r="E74" i="6"/>
  <c r="I60" i="6"/>
  <c r="H60" i="6"/>
  <c r="F60" i="6"/>
  <c r="E60" i="6"/>
  <c r="I56" i="6"/>
  <c r="H56" i="6"/>
  <c r="F56" i="6"/>
  <c r="E56" i="6"/>
  <c r="I53" i="6"/>
  <c r="H53" i="6"/>
  <c r="F53" i="6"/>
  <c r="E53" i="6"/>
  <c r="I46" i="6"/>
  <c r="H46" i="6"/>
  <c r="F46" i="6"/>
  <c r="E46" i="6"/>
  <c r="I49" i="6"/>
  <c r="H49" i="6"/>
  <c r="F49" i="6"/>
  <c r="E49" i="6"/>
  <c r="I26" i="6"/>
  <c r="H26" i="6"/>
  <c r="H25" i="6" s="1"/>
  <c r="E26" i="6"/>
  <c r="G26" i="6" s="1"/>
  <c r="I41" i="6"/>
  <c r="H41" i="6"/>
  <c r="F41" i="6"/>
  <c r="E41" i="6"/>
  <c r="I36" i="6"/>
  <c r="H36" i="6"/>
  <c r="F36" i="6"/>
  <c r="E36" i="6"/>
  <c r="I32" i="6"/>
  <c r="H32" i="6"/>
  <c r="F32" i="6"/>
  <c r="E32" i="6"/>
  <c r="I17" i="6"/>
  <c r="H17" i="6"/>
  <c r="H16" i="6" s="1"/>
  <c r="F17" i="6"/>
  <c r="E17" i="6"/>
  <c r="E16" i="6" s="1"/>
  <c r="I8" i="6"/>
  <c r="I7" i="6" s="1"/>
  <c r="H8" i="6"/>
  <c r="H7" i="6" s="1"/>
  <c r="F8" i="6"/>
  <c r="E8" i="6"/>
  <c r="E7" i="6" s="1"/>
  <c r="G49" i="6" l="1"/>
  <c r="G46" i="6"/>
  <c r="G53" i="6"/>
  <c r="G56" i="6"/>
  <c r="G60" i="6"/>
  <c r="G74" i="6"/>
  <c r="G87" i="6"/>
  <c r="G8" i="6"/>
  <c r="G36" i="6"/>
  <c r="G41" i="6"/>
  <c r="E118" i="6"/>
  <c r="G119" i="6"/>
  <c r="J7" i="6"/>
  <c r="J36" i="6"/>
  <c r="J41" i="6"/>
  <c r="J49" i="6"/>
  <c r="J46" i="6"/>
  <c r="J53" i="6"/>
  <c r="J56" i="6"/>
  <c r="J74" i="6"/>
  <c r="J87" i="6"/>
  <c r="J8" i="6"/>
  <c r="E25" i="6"/>
  <c r="G25" i="6" s="1"/>
  <c r="F16" i="6"/>
  <c r="G16" i="6" s="1"/>
  <c r="G17" i="6"/>
  <c r="F31" i="6"/>
  <c r="G32" i="6"/>
  <c r="F105" i="6"/>
  <c r="G106" i="6"/>
  <c r="G175" i="9"/>
  <c r="H175" i="9" s="1"/>
  <c r="I31" i="6"/>
  <c r="J32" i="6"/>
  <c r="I25" i="6"/>
  <c r="J25" i="6" s="1"/>
  <c r="J26" i="6"/>
  <c r="I59" i="6"/>
  <c r="J60" i="6"/>
  <c r="I105" i="6"/>
  <c r="J106" i="6"/>
  <c r="J17" i="6"/>
  <c r="I16" i="6"/>
  <c r="J16" i="6" s="1"/>
  <c r="E31" i="6"/>
  <c r="H31" i="6"/>
  <c r="H59" i="6"/>
  <c r="F59" i="6"/>
  <c r="F45" i="6"/>
  <c r="I45" i="6"/>
  <c r="F7" i="6"/>
  <c r="G7" i="6" s="1"/>
  <c r="H45" i="6"/>
  <c r="E59" i="6"/>
  <c r="E45" i="6"/>
  <c r="E129" i="6" l="1"/>
  <c r="G129" i="6" s="1"/>
  <c r="G118" i="6"/>
  <c r="G45" i="6"/>
  <c r="J59" i="6"/>
  <c r="J31" i="6"/>
  <c r="G31" i="6"/>
  <c r="F110" i="6"/>
  <c r="G110" i="6" s="1"/>
  <c r="G105" i="6"/>
  <c r="I100" i="6"/>
  <c r="J45" i="6"/>
  <c r="I110" i="6"/>
  <c r="J110" i="6" s="1"/>
  <c r="J105" i="6"/>
  <c r="H100" i="6"/>
  <c r="H111" i="6" s="1"/>
  <c r="G59" i="6"/>
  <c r="F100" i="6"/>
  <c r="E100" i="6"/>
  <c r="E111" i="6" s="1"/>
  <c r="G100" i="6" l="1"/>
  <c r="J100" i="6"/>
  <c r="F111" i="6"/>
  <c r="G111" i="6" s="1"/>
  <c r="I111" i="6"/>
  <c r="J111" i="6" s="1"/>
  <c r="F31" i="5"/>
  <c r="E31" i="5"/>
  <c r="F29" i="5"/>
  <c r="G29" i="5" s="1"/>
  <c r="E29" i="5"/>
  <c r="F27" i="5"/>
  <c r="E27" i="5"/>
  <c r="F24" i="5"/>
  <c r="G24" i="5" s="1"/>
  <c r="E24" i="5"/>
  <c r="F20" i="5"/>
  <c r="E20" i="5"/>
  <c r="F14" i="5"/>
  <c r="G14" i="5" s="1"/>
  <c r="E14" i="5"/>
  <c r="E6" i="5"/>
  <c r="E10" i="5" s="1"/>
  <c r="F6" i="5"/>
  <c r="F113" i="4"/>
  <c r="G113" i="4" s="1"/>
  <c r="E113" i="4"/>
  <c r="F111" i="4"/>
  <c r="E111" i="4"/>
  <c r="E110" i="4"/>
  <c r="F108" i="4"/>
  <c r="E108" i="4"/>
  <c r="E107" i="4" s="1"/>
  <c r="F107" i="4"/>
  <c r="F103" i="4"/>
  <c r="F102" i="4" s="1"/>
  <c r="E103" i="4"/>
  <c r="E102" i="4" s="1"/>
  <c r="F99" i="4"/>
  <c r="E99" i="4"/>
  <c r="E98" i="4" s="1"/>
  <c r="F96" i="4"/>
  <c r="E96" i="4"/>
  <c r="E95" i="4" s="1"/>
  <c r="F93" i="4"/>
  <c r="E93" i="4"/>
  <c r="E92" i="4" s="1"/>
  <c r="F85" i="4"/>
  <c r="E85" i="4"/>
  <c r="E84" i="4" s="1"/>
  <c r="F82" i="4"/>
  <c r="E82" i="4"/>
  <c r="F80" i="4"/>
  <c r="E80" i="4"/>
  <c r="F77" i="4"/>
  <c r="E77" i="4"/>
  <c r="E76" i="4" s="1"/>
  <c r="F74" i="4"/>
  <c r="E74" i="4"/>
  <c r="F72" i="4"/>
  <c r="E72" i="4"/>
  <c r="F67" i="4"/>
  <c r="E67" i="4"/>
  <c r="E64" i="4" s="1"/>
  <c r="F65" i="4"/>
  <c r="G65" i="4" s="1"/>
  <c r="E65" i="4"/>
  <c r="F62" i="4"/>
  <c r="E62" i="4"/>
  <c r="F60" i="4"/>
  <c r="G60" i="4" s="1"/>
  <c r="E60" i="4"/>
  <c r="F57" i="4"/>
  <c r="E57" i="4"/>
  <c r="E56" i="4" s="1"/>
  <c r="F53" i="4"/>
  <c r="E53" i="4"/>
  <c r="F51" i="4"/>
  <c r="E51" i="4"/>
  <c r="F49" i="4"/>
  <c r="E49" i="4"/>
  <c r="F47" i="4"/>
  <c r="E47" i="4"/>
  <c r="F42" i="4"/>
  <c r="E42" i="4"/>
  <c r="E41" i="4" s="1"/>
  <c r="F39" i="4"/>
  <c r="E39" i="4"/>
  <c r="E38" i="4" s="1"/>
  <c r="F35" i="4"/>
  <c r="E35" i="4"/>
  <c r="F33" i="4"/>
  <c r="E33" i="4"/>
  <c r="F31" i="4"/>
  <c r="E31" i="4"/>
  <c r="F28" i="4"/>
  <c r="E28" i="4"/>
  <c r="E27" i="4" s="1"/>
  <c r="F25" i="4"/>
  <c r="E25" i="4"/>
  <c r="F23" i="4"/>
  <c r="E23" i="4"/>
  <c r="F21" i="4"/>
  <c r="E21" i="4"/>
  <c r="F19" i="4"/>
  <c r="E19" i="4"/>
  <c r="F16" i="4"/>
  <c r="E16" i="4"/>
  <c r="E15" i="4" s="1"/>
  <c r="F12" i="4"/>
  <c r="E12" i="4"/>
  <c r="F10" i="4"/>
  <c r="G10" i="4" s="1"/>
  <c r="E10" i="4"/>
  <c r="F8" i="4"/>
  <c r="E8" i="4"/>
  <c r="F76" i="3"/>
  <c r="F75" i="3"/>
  <c r="F74" i="3"/>
  <c r="F73" i="3"/>
  <c r="F72" i="3"/>
  <c r="H71" i="3"/>
  <c r="G71" i="3"/>
  <c r="G67" i="3"/>
  <c r="J67" i="3" s="1"/>
  <c r="F64" i="3"/>
  <c r="F63" i="3" s="1"/>
  <c r="H63" i="3"/>
  <c r="G63" i="3"/>
  <c r="G81" i="3" s="1"/>
  <c r="F59" i="3"/>
  <c r="F57" i="3"/>
  <c r="F56" i="3"/>
  <c r="F55" i="3"/>
  <c r="F54" i="3"/>
  <c r="F53" i="3"/>
  <c r="H47" i="3"/>
  <c r="H82" i="3" s="1"/>
  <c r="G47" i="3"/>
  <c r="F47" i="3"/>
  <c r="F42" i="3"/>
  <c r="F41" i="3"/>
  <c r="F39" i="3"/>
  <c r="F38" i="3"/>
  <c r="F34" i="3"/>
  <c r="F33" i="3"/>
  <c r="F32" i="3"/>
  <c r="F31" i="3"/>
  <c r="F30" i="3"/>
  <c r="F29" i="3"/>
  <c r="G28" i="3"/>
  <c r="F28" i="3"/>
  <c r="F26" i="3"/>
  <c r="F25" i="3"/>
  <c r="F24" i="3"/>
  <c r="F23" i="3"/>
  <c r="F22" i="3"/>
  <c r="F21" i="3"/>
  <c r="F20" i="3"/>
  <c r="F19" i="3"/>
  <c r="F15" i="3"/>
  <c r="F14" i="3"/>
  <c r="F13" i="3"/>
  <c r="F12" i="3"/>
  <c r="F8" i="3"/>
  <c r="F10" i="5" l="1"/>
  <c r="G10" i="5" s="1"/>
  <c r="G6" i="5"/>
  <c r="G20" i="5"/>
  <c r="G27" i="5"/>
  <c r="G31" i="5"/>
  <c r="G93" i="4"/>
  <c r="G12" i="4"/>
  <c r="G23" i="4"/>
  <c r="G33" i="4"/>
  <c r="G47" i="4"/>
  <c r="G51" i="4"/>
  <c r="G57" i="4"/>
  <c r="G74" i="4"/>
  <c r="G80" i="4"/>
  <c r="E106" i="4"/>
  <c r="E105" i="4" s="1"/>
  <c r="G111" i="4"/>
  <c r="G8" i="4"/>
  <c r="E59" i="4"/>
  <c r="E71" i="4"/>
  <c r="E79" i="4"/>
  <c r="F92" i="4"/>
  <c r="G92" i="4" s="1"/>
  <c r="F71" i="4"/>
  <c r="G71" i="4" s="1"/>
  <c r="G72" i="4"/>
  <c r="E18" i="4"/>
  <c r="E30" i="4"/>
  <c r="E14" i="4" s="1"/>
  <c r="E5" i="4" s="1"/>
  <c r="E37" i="4"/>
  <c r="E46" i="4"/>
  <c r="E45" i="4" s="1"/>
  <c r="F56" i="4"/>
  <c r="G56" i="4" s="1"/>
  <c r="E91" i="4"/>
  <c r="E90" i="4" s="1"/>
  <c r="E115" i="4" s="1"/>
  <c r="F76" i="4"/>
  <c r="G76" i="4" s="1"/>
  <c r="G77" i="4"/>
  <c r="F27" i="4"/>
  <c r="G27" i="4" s="1"/>
  <c r="G28" i="4"/>
  <c r="F38" i="4"/>
  <c r="G38" i="4" s="1"/>
  <c r="G39" i="4"/>
  <c r="E55" i="4"/>
  <c r="F84" i="4"/>
  <c r="G84" i="4" s="1"/>
  <c r="G85" i="4"/>
  <c r="F98" i="4"/>
  <c r="G98" i="4" s="1"/>
  <c r="G99" i="4"/>
  <c r="G107" i="4"/>
  <c r="E7" i="4"/>
  <c r="E6" i="4" s="1"/>
  <c r="F15" i="4"/>
  <c r="G15" i="4" s="1"/>
  <c r="G16" i="4"/>
  <c r="G25" i="4"/>
  <c r="G35" i="4"/>
  <c r="F41" i="4"/>
  <c r="G41" i="4" s="1"/>
  <c r="G42" i="4"/>
  <c r="G49" i="4"/>
  <c r="G53" i="4"/>
  <c r="G62" i="4"/>
  <c r="G67" i="4"/>
  <c r="G82" i="4"/>
  <c r="F95" i="4"/>
  <c r="G95" i="4" s="1"/>
  <c r="G96" i="4"/>
  <c r="G108" i="4"/>
  <c r="J63" i="3"/>
  <c r="H81" i="3"/>
  <c r="J81" i="3" s="1"/>
  <c r="J71" i="3"/>
  <c r="G82" i="3"/>
  <c r="J82" i="3" s="1"/>
  <c r="J28" i="3"/>
  <c r="F79" i="4"/>
  <c r="G79" i="4" s="1"/>
  <c r="F64" i="4"/>
  <c r="G64" i="4" s="1"/>
  <c r="F59" i="4"/>
  <c r="G59" i="4" s="1"/>
  <c r="F46" i="4"/>
  <c r="F30" i="4"/>
  <c r="F18" i="4"/>
  <c r="G18" i="4" s="1"/>
  <c r="F7" i="4"/>
  <c r="F13" i="5"/>
  <c r="E13" i="5"/>
  <c r="E33" i="5" s="1"/>
  <c r="F110" i="4"/>
  <c r="H79" i="3"/>
  <c r="F71" i="3"/>
  <c r="F67" i="3"/>
  <c r="G79" i="3"/>
  <c r="F37" i="4"/>
  <c r="G37" i="4" s="1"/>
  <c r="E44" i="4"/>
  <c r="F91" i="4"/>
  <c r="F9" i="3"/>
  <c r="F79" i="3" s="1"/>
  <c r="F33" i="5" l="1"/>
  <c r="G33" i="5" s="1"/>
  <c r="G13" i="5"/>
  <c r="F45" i="4"/>
  <c r="G45" i="4" s="1"/>
  <c r="G46" i="4"/>
  <c r="F6" i="4"/>
  <c r="G6" i="4" s="1"/>
  <c r="G7" i="4"/>
  <c r="F90" i="4"/>
  <c r="G90" i="4" s="1"/>
  <c r="G91" i="4"/>
  <c r="F106" i="4"/>
  <c r="G110" i="4"/>
  <c r="G30" i="4"/>
  <c r="J79" i="3"/>
  <c r="F55" i="4"/>
  <c r="F14" i="4"/>
  <c r="E87" i="4"/>
  <c r="F5" i="4" l="1"/>
  <c r="G5" i="4" s="1"/>
  <c r="G14" i="4"/>
  <c r="F44" i="4"/>
  <c r="G44" i="4" s="1"/>
  <c r="G55" i="4"/>
  <c r="F105" i="4"/>
  <c r="G106" i="4"/>
  <c r="F87" i="4"/>
  <c r="G87" i="4" s="1"/>
  <c r="G105" i="4" l="1"/>
  <c r="F115" i="4"/>
  <c r="G115" i="4" s="1"/>
</calcChain>
</file>

<file path=xl/sharedStrings.xml><?xml version="1.0" encoding="utf-8"?>
<sst xmlns="http://schemas.openxmlformats.org/spreadsheetml/2006/main" count="4414" uniqueCount="1545">
  <si>
    <t>Dział</t>
  </si>
  <si>
    <t>Rozdział</t>
  </si>
  <si>
    <t>Paragraf</t>
  </si>
  <si>
    <t>Treść</t>
  </si>
  <si>
    <t>Zmiana</t>
  </si>
  <si>
    <t>010</t>
  </si>
  <si>
    <t>Rolnictwo i łowiectwo</t>
  </si>
  <si>
    <t>0,00</t>
  </si>
  <si>
    <t>01042</t>
  </si>
  <si>
    <t>Wyłączenie z produkcji gruntów rolnych</t>
  </si>
  <si>
    <t>116 250,00</t>
  </si>
  <si>
    <t>6300</t>
  </si>
  <si>
    <t>Dotacja celowa otrzymana z tytułu pomocy finansowej udzielanej między jednostkami samorządu terytorialnego na dofinansowanie własnych zadań inwestycyjnych i zakupów inwestycyjnych</t>
  </si>
  <si>
    <t>01095</t>
  </si>
  <si>
    <t>Pozostała działalność</t>
  </si>
  <si>
    <t>0750</t>
  </si>
  <si>
    <t>Wpływy z najmu i dzierżawy składników majątkowych Skarbu Państwa, jednostek samorządu terytorialnego lub innych jednostek zaliczanych do sektora finansów publicznych oraz innych umów o podobnym charakterze</t>
  </si>
  <si>
    <t>51 000,00</t>
  </si>
  <si>
    <t>2010</t>
  </si>
  <si>
    <t>Dotacje celowe otrzymane z budżetu państwa na realizację zadań bieżących z zakresu administracji rządowej oraz innych zadań zleconych gminie (związkom gmin, związkom powiatowo-gminnym) ustawami</t>
  </si>
  <si>
    <t>844 965,74</t>
  </si>
  <si>
    <t>050</t>
  </si>
  <si>
    <t>Rybołówstwo i rybactwo</t>
  </si>
  <si>
    <t>25 000,00</t>
  </si>
  <si>
    <t>05095</t>
  </si>
  <si>
    <t>0690</t>
  </si>
  <si>
    <t>Wpływy z różnych opłat</t>
  </si>
  <si>
    <t>600</t>
  </si>
  <si>
    <t>Transport i łączność</t>
  </si>
  <si>
    <t>15 000,00</t>
  </si>
  <si>
    <t>60016</t>
  </si>
  <si>
    <t>Drogi publiczne gminne</t>
  </si>
  <si>
    <t>0490</t>
  </si>
  <si>
    <t>Wpływy z innych lokalnych opłat pobieranych przez jednostki samorządu terytorialnego na podstawie odrębnych ustaw</t>
  </si>
  <si>
    <t>700</t>
  </si>
  <si>
    <t>Gospodarka mieszkaniowa</t>
  </si>
  <si>
    <t>70005</t>
  </si>
  <si>
    <t>Gospodarka gruntami i nieruchomościami</t>
  </si>
  <si>
    <t>0470</t>
  </si>
  <si>
    <t>Wpływy z opłat za trwały zarząd, użytkowanie i służebności</t>
  </si>
  <si>
    <t>38 400,00</t>
  </si>
  <si>
    <t>0550</t>
  </si>
  <si>
    <t>Wpływy z opłat z tytułu użytkowania wieczystego nieruchomości</t>
  </si>
  <si>
    <t>81 600,00</t>
  </si>
  <si>
    <t>334 500,00</t>
  </si>
  <si>
    <t>0760</t>
  </si>
  <si>
    <t>Wpływy z tytułu przekształcenia prawa użytkowania wieczystego przysługującego osobom fizycznym w prawo własności</t>
  </si>
  <si>
    <t>6 000,00</t>
  </si>
  <si>
    <t>0770</t>
  </si>
  <si>
    <t>Wpłaty z tytułu odpłatnego nabycia prawa własności oraz prawa użytkowania wieczystego nieruchomości</t>
  </si>
  <si>
    <t>1 000 000,00</t>
  </si>
  <si>
    <t>0910</t>
  </si>
  <si>
    <t>Wpływy z odsetek od nieterminowych wpłat z tytułu podatków i opłat</t>
  </si>
  <si>
    <t>700,00</t>
  </si>
  <si>
    <t>0920</t>
  </si>
  <si>
    <t>Wpływy z pozostałych odsetek</t>
  </si>
  <si>
    <t>800,00</t>
  </si>
  <si>
    <t>2058</t>
  </si>
  <si>
    <t>Dotacje celowe w ramach programów finansowanych z udziałem środków europejskich oraz środków, o których mowa w art. 5 ust. 3 pkt 5 lit. a i b ustawy, lub płatności w ramach budżetu środków europejskich, realizowanych przez jednostki samorządu terytorialnego</t>
  </si>
  <si>
    <t>31 529,36</t>
  </si>
  <si>
    <t>2059</t>
  </si>
  <si>
    <t>5 563,99</t>
  </si>
  <si>
    <t>710</t>
  </si>
  <si>
    <t>Działalność usługowa</t>
  </si>
  <si>
    <t>28 000,00</t>
  </si>
  <si>
    <t>71035</t>
  </si>
  <si>
    <t>Cmentarze</t>
  </si>
  <si>
    <t>2020</t>
  </si>
  <si>
    <t>Dotacje celowe otrzymane z budżetu państwa na zadania bieżące realizowane przez gminę na podstawie porozumień z organami administracji rządowej</t>
  </si>
  <si>
    <t>750</t>
  </si>
  <si>
    <t>Administracja publiczna</t>
  </si>
  <si>
    <t>75011</t>
  </si>
  <si>
    <t>Urzędy wojewódzkie</t>
  </si>
  <si>
    <t>198 574,00</t>
  </si>
  <si>
    <t>75023</t>
  </si>
  <si>
    <t>Urzędy gmin (miast i miast na prawach powiatu)</t>
  </si>
  <si>
    <t>2 100,00</t>
  </si>
  <si>
    <t>0570</t>
  </si>
  <si>
    <t>Wpływy z tytułu grzywien, mandatów i innych kar pieniężnych od osób fizycznych</t>
  </si>
  <si>
    <t>1 500,00</t>
  </si>
  <si>
    <t>0970</t>
  </si>
  <si>
    <t>Wpływy z różnych dochodów</t>
  </si>
  <si>
    <t>600,00</t>
  </si>
  <si>
    <t>75085</t>
  </si>
  <si>
    <t>Wspólna obsługa jednostek samorządu terytorialnego</t>
  </si>
  <si>
    <t>3 400,00</t>
  </si>
  <si>
    <t>2700</t>
  </si>
  <si>
    <t>Środki na dofinansowanie własnych zadań bieżących gmin, powiatów (związków gmin, związków powiatowo-gminnych,związków powiatów), samorządów województw, pozyskane z innych źródeł</t>
  </si>
  <si>
    <t>751</t>
  </si>
  <si>
    <t>Urzędy naczelnych organów władzy państwowej, kontroli i ochrony prawa oraz sądownictwa</t>
  </si>
  <si>
    <t>3 491,00</t>
  </si>
  <si>
    <t>75101</t>
  </si>
  <si>
    <t>Urzędy naczelnych organów władzy państwowej, kontroli i ochrony prawa</t>
  </si>
  <si>
    <t>754</t>
  </si>
  <si>
    <t>Bezpieczeństwo publiczne i ochrona przeciwpożarowa</t>
  </si>
  <si>
    <t>1 000,00</t>
  </si>
  <si>
    <t>75412</t>
  </si>
  <si>
    <t>Ochotnicze straże pożarne</t>
  </si>
  <si>
    <t>0830</t>
  </si>
  <si>
    <t>Wpływy z usług</t>
  </si>
  <si>
    <t>756</t>
  </si>
  <si>
    <t>Dochody od osób prawnych, od osób fizycznych i od innych jednostek nieposiadających osobowości prawnej oraz wydatki związane z ich poborem</t>
  </si>
  <si>
    <t>20 000,00</t>
  </si>
  <si>
    <t>75601</t>
  </si>
  <si>
    <t>Wpływy z podatku dochodowego od osób fizycznych</t>
  </si>
  <si>
    <t>60 000,00</t>
  </si>
  <si>
    <t>0350</t>
  </si>
  <si>
    <t>Wpływy z podatku od działalności gospodarczej osób fizycznych, opłacanego w formie karty podatkowej</t>
  </si>
  <si>
    <t>75615</t>
  </si>
  <si>
    <t>Wpływy z podatku rolnego, podatku leśnego, podatku od czynności cywilnoprawnych, podatków i opłat lokalnych od osób prawnych i innych jednostek organizacyjnych</t>
  </si>
  <si>
    <t>0310</t>
  </si>
  <si>
    <t>Wpływy z podatku od nieruchomości</t>
  </si>
  <si>
    <t>5 648 036,95</t>
  </si>
  <si>
    <t>0320</t>
  </si>
  <si>
    <t>Wpływy z podatku rolnego</t>
  </si>
  <si>
    <t>83 762,00</t>
  </si>
  <si>
    <t>0330</t>
  </si>
  <si>
    <t>Wpływy z podatku leśnego</t>
  </si>
  <si>
    <t>150 000,00</t>
  </si>
  <si>
    <t>0340</t>
  </si>
  <si>
    <t>Wpływy z podatku od środków transportowych</t>
  </si>
  <si>
    <t>59 512,00</t>
  </si>
  <si>
    <t>0500</t>
  </si>
  <si>
    <t>Wpływy z podatku od czynności cywilnoprawnych</t>
  </si>
  <si>
    <t>11 000,00</t>
  </si>
  <si>
    <t>31 000,00</t>
  </si>
  <si>
    <t>2 000,00</t>
  </si>
  <si>
    <t>2680</t>
  </si>
  <si>
    <t>Rekompensaty utraconych dochodów w podatkach i opłatach lokalnych</t>
  </si>
  <si>
    <t>559 000,00</t>
  </si>
  <si>
    <t>75616</t>
  </si>
  <si>
    <t>Wpływy z podatku rolnego, podatku leśnego, podatku od spadków i darowizn, podatku od czynności cywilno-prawnych oraz podatków i opłat lokalnych od osób fizycznych</t>
  </si>
  <si>
    <t>2 643 043,72</t>
  </si>
  <si>
    <t>667 834,00</t>
  </si>
  <si>
    <t>8 000,00</t>
  </si>
  <si>
    <t>366 224,00</t>
  </si>
  <si>
    <t>0360</t>
  </si>
  <si>
    <t>Wpływy z podatku od spadków i darowizn</t>
  </si>
  <si>
    <t>30 000,00</t>
  </si>
  <si>
    <t>0430</t>
  </si>
  <si>
    <t>Wpływy z opłaty targowej</t>
  </si>
  <si>
    <t>50 000,00</t>
  </si>
  <si>
    <t>10 000,00</t>
  </si>
  <si>
    <t>510 000,00</t>
  </si>
  <si>
    <t>0640</t>
  </si>
  <si>
    <t>Wpływy z tytułu kosztów egzekucyjnych, opłaty komorniczej i kosztów upomnień</t>
  </si>
  <si>
    <t>75618</t>
  </si>
  <si>
    <t>Wpływy z innych opłat stanowiących dochody jednostek samorządu terytorialnego na podstawie ustaw</t>
  </si>
  <si>
    <t>0410</t>
  </si>
  <si>
    <t>Wpływy z opłaty skarbowej</t>
  </si>
  <si>
    <t>0480</t>
  </si>
  <si>
    <t>Wpływy z opłat za zezwolenia na sprzedaż napojów alkoholowych</t>
  </si>
  <si>
    <t>300 000,00</t>
  </si>
  <si>
    <t>1 800,00</t>
  </si>
  <si>
    <t>75621</t>
  </si>
  <si>
    <t>Udziały gmin w podatkach stanowiących dochód budżetu państwa</t>
  </si>
  <si>
    <t>0010</t>
  </si>
  <si>
    <t>9 797 342,00</t>
  </si>
  <si>
    <t>0020</t>
  </si>
  <si>
    <t>Wpływy z podatku dochodowego od osób prawnych</t>
  </si>
  <si>
    <t>1 620 000,00</t>
  </si>
  <si>
    <t>758</t>
  </si>
  <si>
    <t>Różne rozliczenia</t>
  </si>
  <si>
    <t>75801</t>
  </si>
  <si>
    <t>Część oświatowa subwencji ogólnej dla jednostek samorządu terytorialnego</t>
  </si>
  <si>
    <t>13 655 161,00</t>
  </si>
  <si>
    <t>2920</t>
  </si>
  <si>
    <t>Subwencje ogólne z budżetu państwa</t>
  </si>
  <si>
    <t>75807</t>
  </si>
  <si>
    <t>Część wyrównawcza subwencji ogólnej dla gmin</t>
  </si>
  <si>
    <t>4 101 188,00</t>
  </si>
  <si>
    <t>75814</t>
  </si>
  <si>
    <t>Różne rozliczenia finansowe</t>
  </si>
  <si>
    <t>80 000,00</t>
  </si>
  <si>
    <t>2 984 534,11</t>
  </si>
  <si>
    <t>2030</t>
  </si>
  <si>
    <t>Dotacje celowe otrzymane z budżetu państwa na realizację własnych zadań bieżących gmin (związków gmin, związków powiatowo-gminnych)</t>
  </si>
  <si>
    <t>84 081,95</t>
  </si>
  <si>
    <t>6330</t>
  </si>
  <si>
    <t>Dotacje celowe otrzymane z budżetu państwa na realizację inwestycji i zakupów inwestycyjnych własnych gmin (związków gmin, związków powiatowo-gminnych)</t>
  </si>
  <si>
    <t>8 021,64</t>
  </si>
  <si>
    <t>75831</t>
  </si>
  <si>
    <t>Część równoważąca subwencji ogólnej dla gmin</t>
  </si>
  <si>
    <t>269 321,00</t>
  </si>
  <si>
    <t>801</t>
  </si>
  <si>
    <t>Oświata i wychowanie</t>
  </si>
  <si>
    <t>80101</t>
  </si>
  <si>
    <t>Szkoły podstawowe</t>
  </si>
  <si>
    <t>6 307,00</t>
  </si>
  <si>
    <t>193 980,23</t>
  </si>
  <si>
    <t>49 342,99</t>
  </si>
  <si>
    <t>80103</t>
  </si>
  <si>
    <t>Oddziały przedszkolne w szkołach podstawowych</t>
  </si>
  <si>
    <t>85 632,00</t>
  </si>
  <si>
    <t>80104</t>
  </si>
  <si>
    <t xml:space="preserve">Przedszkola </t>
  </si>
  <si>
    <t>0660</t>
  </si>
  <si>
    <t>Wpływy z opłat za korzystanie z wychowania przedszkolnego</t>
  </si>
  <si>
    <t>134 300,00</t>
  </si>
  <si>
    <t>0670</t>
  </si>
  <si>
    <t>Wpływy z opłat za korzystanie z wyżywienia w jednostkach realizujących zadania z zakresu wychowania przedszkolnego</t>
  </si>
  <si>
    <t>388 800,00</t>
  </si>
  <si>
    <t>4 290,00</t>
  </si>
  <si>
    <t>4 500,00</t>
  </si>
  <si>
    <t>488 370,00</t>
  </si>
  <si>
    <t>2310</t>
  </si>
  <si>
    <t>Dotacje celowe otrzymane z gminy na zadania bieżące realizowane na podstawie porozumień (umów) między jednostkami samorządu terytorialnego</t>
  </si>
  <si>
    <t>14 000,00</t>
  </si>
  <si>
    <t>80110</t>
  </si>
  <si>
    <t>Gimnazja</t>
  </si>
  <si>
    <t>4 000,00</t>
  </si>
  <si>
    <t>43 748,62</t>
  </si>
  <si>
    <t>80148</t>
  </si>
  <si>
    <t>Stołówki szkolne i przedszkolne</t>
  </si>
  <si>
    <t>257 600,00</t>
  </si>
  <si>
    <t>18 000,00</t>
  </si>
  <si>
    <t>80150</t>
  </si>
  <si>
    <t>Realizacja zadań wymagających stosowania specjalnej organizacji nauki i metod pracy dla dzieci i młodzieży w szkołach podstawowych, gimnazjach, liceach ogólnokształcących, liceach profilowanych i szkołach zawodowych oraz szkołach artystycznych</t>
  </si>
  <si>
    <t>4 144,78</t>
  </si>
  <si>
    <t>80195</t>
  </si>
  <si>
    <t>0839</t>
  </si>
  <si>
    <t>2007</t>
  </si>
  <si>
    <t>Dotacje celowe w ramach programów finansowanych z udziałem środków europejskich oraz środków, o których mowa w art.5 ust.1 pkt 3 oraz ust. 3 pkt 5 i 6 ustawy, lub płatności w ramach budżetu środków europejskich, z wyłączeniem dochodów klasyfikowanych w paragrafie 205</t>
  </si>
  <si>
    <t>170 161,20</t>
  </si>
  <si>
    <t>2009</t>
  </si>
  <si>
    <t>19 838,80</t>
  </si>
  <si>
    <t>2057</t>
  </si>
  <si>
    <t>557 636,81</t>
  </si>
  <si>
    <t>65 006,55</t>
  </si>
  <si>
    <t>6257</t>
  </si>
  <si>
    <t>Dotacje celowe w ramach programów finansowych z udziałem środków europejskich oraz środków, o których mowa w art. 5 ust. 3 pkt 5 lit. a i b ustawy, lub płatności w ramach budżetu środków europejskich, realizowanych przez jednostki samorządu terytorialnego</t>
  </si>
  <si>
    <t>10 209,76</t>
  </si>
  <si>
    <t>6259</t>
  </si>
  <si>
    <t>1 190,24</t>
  </si>
  <si>
    <t>852</t>
  </si>
  <si>
    <t>Pomoc społeczna</t>
  </si>
  <si>
    <t>85213</t>
  </si>
  <si>
    <t>Składki na ubezpieczenie zdrowotne opłacane za osoby pobierające niektóre świadczenia z pomocy społecznej, niektóre świadczenia rodzinne oraz za osoby uczestniczące w zajęciach w centrum integracji społecznej.</t>
  </si>
  <si>
    <t>58 683,00</t>
  </si>
  <si>
    <t>49 918,00</t>
  </si>
  <si>
    <t>2910</t>
  </si>
  <si>
    <t>Wpływy ze zwrotów dotacji oraz płatności wykorzystanych niezgodnie z przeznaczeniem lub wykorzystanych z naruszeniem procedur, o których mowa w art. 184 ustawy, pobranych nienależnie lub w nadmiernej wysokości</t>
  </si>
  <si>
    <t>250,00</t>
  </si>
  <si>
    <t>2950</t>
  </si>
  <si>
    <t>Wpływy ze zwrotów niewykorzystanych dotacji oraz płatności</t>
  </si>
  <si>
    <t>85214</t>
  </si>
  <si>
    <t>Zasiłki okresowe, celowe i pomoc w naturze oraz składki na ubezpieczenia emerytalne i rentowe</t>
  </si>
  <si>
    <t>0960</t>
  </si>
  <si>
    <t>Wpływy z otrzymanych spadków, zapisów i darowizn w postaci pieniężnej</t>
  </si>
  <si>
    <t>85215</t>
  </si>
  <si>
    <t>Dodatki mieszkaniowe</t>
  </si>
  <si>
    <t>17 500,00</t>
  </si>
  <si>
    <t>85216</t>
  </si>
  <si>
    <t>Zasiłki stałe</t>
  </si>
  <si>
    <t>410 000,00</t>
  </si>
  <si>
    <t>500,00</t>
  </si>
  <si>
    <t>85219</t>
  </si>
  <si>
    <t>Ośrodki pomocy społecznej</t>
  </si>
  <si>
    <t>180 479,00</t>
  </si>
  <si>
    <t>85228</t>
  </si>
  <si>
    <t>Usługi opiekuńcze i specjalistyczne usługi opiekuńcze</t>
  </si>
  <si>
    <t>35 000,00</t>
  </si>
  <si>
    <t>422 374,00</t>
  </si>
  <si>
    <t>2360</t>
  </si>
  <si>
    <t>Dochody jednostek samorządu terytorialnego związane z realizacją zadań z zakresu administracji rządowej oraz innych zadań zleconych ustawami</t>
  </si>
  <si>
    <t>125,00</t>
  </si>
  <si>
    <t>85230</t>
  </si>
  <si>
    <t>Pomoc w zakresie dożywiania</t>
  </si>
  <si>
    <t>195 000,00</t>
  </si>
  <si>
    <t>85278</t>
  </si>
  <si>
    <t>Usuwanie skutków klęsk żywiołowych</t>
  </si>
  <si>
    <t>853</t>
  </si>
  <si>
    <t>Pozostałe zadania w zakresie polityki społecznej</t>
  </si>
  <si>
    <t>85395</t>
  </si>
  <si>
    <t>551 462,15</t>
  </si>
  <si>
    <t>20 757,23</t>
  </si>
  <si>
    <t>854</t>
  </si>
  <si>
    <t>Edukacyjna opieka wychowawcza</t>
  </si>
  <si>
    <t>85415</t>
  </si>
  <si>
    <t>Pomoc materialna dla uczniów o charakterze socjalnym</t>
  </si>
  <si>
    <t>185 033,00</t>
  </si>
  <si>
    <t>2040</t>
  </si>
  <si>
    <t>Dotacje celowe otrzymane z budżetu państwa na realizację zadań bieżących gmin z zakresu edukacyjnej opieki wychowawczej finansowanych w całości przez budżet państwa w ramach programów rządowych</t>
  </si>
  <si>
    <t>445,00</t>
  </si>
  <si>
    <t>855</t>
  </si>
  <si>
    <t>Rodzina</t>
  </si>
  <si>
    <t>85501</t>
  </si>
  <si>
    <t>Świadczenie wychowawcze</t>
  </si>
  <si>
    <t>0900</t>
  </si>
  <si>
    <t>Wpływy z odsetek od dotacji oraz płatności: wykorzystanych niezgodnie z przeznaczeniem lub wykorzystanych z naruszeniem procedur, o których mowa w art. 184 ustawy, pobranych nienależnie lub w nadmiernej wysokości</t>
  </si>
  <si>
    <t>2060</t>
  </si>
  <si>
    <t>Dotacje celowe otrzymane z budżetu państwa na zadania bieżące z zakresu administracji rządowej zlecone
gminom (związkom gmin, związkom powiatowo-gminnym), związane z realizacją świadczenia wychowawczego
stanowiącego pomoc państwa w wychowywaniu dzieci</t>
  </si>
  <si>
    <t>14 930 000,00</t>
  </si>
  <si>
    <t>85502</t>
  </si>
  <si>
    <t xml:space="preserve">Świadczenia rodzinne, świadczenie z funduszu alimentacyjnego oraz składki na ubezpieczenia emerytalne i rentowe z ubezpieczenia społecznego
</t>
  </si>
  <si>
    <t>5 500,00</t>
  </si>
  <si>
    <t>7 776 564,00</t>
  </si>
  <si>
    <t>62 000,00</t>
  </si>
  <si>
    <t>85503</t>
  </si>
  <si>
    <t>Karta Dużej Rodziny</t>
  </si>
  <si>
    <t>327,00</t>
  </si>
  <si>
    <t>85504</t>
  </si>
  <si>
    <t>Wspieranie rodziny</t>
  </si>
  <si>
    <t>20 061,83</t>
  </si>
  <si>
    <t>2460</t>
  </si>
  <si>
    <t>Środki otrzymane od pozostałych jednostek zaliczanych do sektora finansów publicznych na realizacje zadań bieżących jednostek zaliczanych do sektora finansów publicznych</t>
  </si>
  <si>
    <t>40 731,60</t>
  </si>
  <si>
    <t>85595</t>
  </si>
  <si>
    <t>900</t>
  </si>
  <si>
    <t>Gospodarka komunalna i ochrona środowiska</t>
  </si>
  <si>
    <t>90002</t>
  </si>
  <si>
    <t>Gospodarka odpadami</t>
  </si>
  <si>
    <t>1 820 276,00</t>
  </si>
  <si>
    <t>90019</t>
  </si>
  <si>
    <t>Wpływy i wydatki związane z gromadzeniem środków z opłat i kar za korzystanie ze środowiska</t>
  </si>
  <si>
    <t>90095</t>
  </si>
  <si>
    <t>10 448,91</t>
  </si>
  <si>
    <t>921</t>
  </si>
  <si>
    <t>Kultura i ochrona dziedzictwa narodowego</t>
  </si>
  <si>
    <t>92109</t>
  </si>
  <si>
    <t>Domy i ośrodki kultury, świetlice i kluby</t>
  </si>
  <si>
    <t>926</t>
  </si>
  <si>
    <t>Kultura fizyczna</t>
  </si>
  <si>
    <t>92601</t>
  </si>
  <si>
    <t>Obiekty sportowe</t>
  </si>
  <si>
    <t>92695</t>
  </si>
  <si>
    <t>3 200,00</t>
  </si>
  <si>
    <t>9 700,00</t>
  </si>
  <si>
    <t>Razem:</t>
  </si>
  <si>
    <t>01008</t>
  </si>
  <si>
    <t>Melioracje wodne</t>
  </si>
  <si>
    <t>2830</t>
  </si>
  <si>
    <t>Dotacja celowa z budżetu na finansowanie lub dofinansowanie zadań zleconych do realizacji pozostałym jednostkom nie zaliczanym do sektora finansów publicznych</t>
  </si>
  <si>
    <t>01010</t>
  </si>
  <si>
    <t>Infrastruktura wodociągowa i sanitacyjna wsi</t>
  </si>
  <si>
    <t>6010</t>
  </si>
  <si>
    <t>Wydatki na zakup i objęcie akcji, wniesienie wkładów do spółek prawa handlowego oraz na uzupełnienie funduszy statutowych banków państwowych i innych instytucji finansowych</t>
  </si>
  <si>
    <t>01030</t>
  </si>
  <si>
    <t>Izby rolnicze</t>
  </si>
  <si>
    <t>17 000,00</t>
  </si>
  <si>
    <t>2850</t>
  </si>
  <si>
    <t>Wpłaty gmin na rzecz izb rolniczych w wysokości 2% uzyskanych wpływów z podatku rolnego</t>
  </si>
  <si>
    <t>4010</t>
  </si>
  <si>
    <t>Wynagrodzenia osobowe pracowników</t>
  </si>
  <si>
    <t>7 723,36</t>
  </si>
  <si>
    <t>4110</t>
  </si>
  <si>
    <t>Składki na ubezpieczenia społeczne</t>
  </si>
  <si>
    <t>1 327,65</t>
  </si>
  <si>
    <t>4120</t>
  </si>
  <si>
    <t>Składki na Fundusz Pracy</t>
  </si>
  <si>
    <t>186,48</t>
  </si>
  <si>
    <t>4210</t>
  </si>
  <si>
    <t>Zakup materiałów i wyposażenia</t>
  </si>
  <si>
    <t>6 635,02</t>
  </si>
  <si>
    <t>4300</t>
  </si>
  <si>
    <t>Zakup usług pozostałych</t>
  </si>
  <si>
    <t>19 237,00</t>
  </si>
  <si>
    <t>4430</t>
  </si>
  <si>
    <t>Różne opłaty i składki</t>
  </si>
  <si>
    <t>828 397,78</t>
  </si>
  <si>
    <t>6050</t>
  </si>
  <si>
    <t>Wydatki inwestycyjne jednostek budżetowych</t>
  </si>
  <si>
    <t>735,00</t>
  </si>
  <si>
    <t>4170</t>
  </si>
  <si>
    <t>Wynagrodzenia bezosobowe</t>
  </si>
  <si>
    <t>4 250,00</t>
  </si>
  <si>
    <t>17 235,00</t>
  </si>
  <si>
    <t>4260</t>
  </si>
  <si>
    <t>Zakup energii</t>
  </si>
  <si>
    <t>2 480,00</t>
  </si>
  <si>
    <t>300,00</t>
  </si>
  <si>
    <t>60004</t>
  </si>
  <si>
    <t>Lokalny transport zbiorowy</t>
  </si>
  <si>
    <t>Dotacje celowe przekazane gminie na zadania bieżące realizowane na podstawie porozumień (umów) między jednostkami samorządu terytorialnego</t>
  </si>
  <si>
    <t>264 500,00</t>
  </si>
  <si>
    <t>57 600,00</t>
  </si>
  <si>
    <t>60014</t>
  </si>
  <si>
    <t>Drogi publiczne powiatowe</t>
  </si>
  <si>
    <t>72 000,00</t>
  </si>
  <si>
    <t>Dotacja celowa na pomoc finansową udzielaną między jednostkami samorządu terytorialnego na dofinansowanie własnych zadań inwestycyjnych i zakupów inwestycyjnych</t>
  </si>
  <si>
    <t>49 027,75</t>
  </si>
  <si>
    <t>4270</t>
  </si>
  <si>
    <t>Zakup usług remontowych</t>
  </si>
  <si>
    <t>198 000,00</t>
  </si>
  <si>
    <t>966 390,92</t>
  </si>
  <si>
    <t>7 360,00</t>
  </si>
  <si>
    <t>1 946 492,22</t>
  </si>
  <si>
    <t>630</t>
  </si>
  <si>
    <t>Turystyka</t>
  </si>
  <si>
    <t>63003</t>
  </si>
  <si>
    <t>Zadania w zakresie upowszechniania turystyki</t>
  </si>
  <si>
    <t>135 000,00</t>
  </si>
  <si>
    <t>63095</t>
  </si>
  <si>
    <t>9 000,00</t>
  </si>
  <si>
    <t>37 000,00</t>
  </si>
  <si>
    <t>6060</t>
  </si>
  <si>
    <t>Wydatki na zakupy inwestycyjne jednostek budżetowych</t>
  </si>
  <si>
    <t>40 000,00</t>
  </si>
  <si>
    <t>70001</t>
  </si>
  <si>
    <t>Zakłady gospodarki mieszkaniowej</t>
  </si>
  <si>
    <t>407 851,60</t>
  </si>
  <si>
    <t>2650</t>
  </si>
  <si>
    <t>Dotacja przedmiotowa z budżetu dla samorządowego zakładu budżetowego</t>
  </si>
  <si>
    <t>85 000,00</t>
  </si>
  <si>
    <t>16 000,00</t>
  </si>
  <si>
    <t>187 823,43</t>
  </si>
  <si>
    <t>4308</t>
  </si>
  <si>
    <t>22 269,58</t>
  </si>
  <si>
    <t>4309</t>
  </si>
  <si>
    <t>19 906,99</t>
  </si>
  <si>
    <t>4500</t>
  </si>
  <si>
    <t>Pozostałe podatki na rzecz budżetów jednostek samorządu terytorialnego</t>
  </si>
  <si>
    <t>4520</t>
  </si>
  <si>
    <t>Opłaty na rzecz budżetów jednostek samorządu terytorialnego</t>
  </si>
  <si>
    <t>5 100,00</t>
  </si>
  <si>
    <t>4590</t>
  </si>
  <si>
    <t>Kary i odszkodowania wypłacane na rzecz osób fizycznych</t>
  </si>
  <si>
    <t>4600</t>
  </si>
  <si>
    <t>Kary, odszkodowania i grzywny wypłacane na rzecz osób prawnych i innych jednostek organizacyjnych</t>
  </si>
  <si>
    <t>90 000,00</t>
  </si>
  <si>
    <t>4610</t>
  </si>
  <si>
    <t>Koszty postępowania sądowego i prokuratorskiego</t>
  </si>
  <si>
    <t>4 700,00</t>
  </si>
  <si>
    <t>310 800,00</t>
  </si>
  <si>
    <t>71004</t>
  </si>
  <si>
    <t>Plany zagospodarowania przestrzennego</t>
  </si>
  <si>
    <t>100 000,00</t>
  </si>
  <si>
    <t>75 000,00</t>
  </si>
  <si>
    <t>12 000,00</t>
  </si>
  <si>
    <t>160 978,75</t>
  </si>
  <si>
    <t>27 672,26</t>
  </si>
  <si>
    <t>3 257,99</t>
  </si>
  <si>
    <t>4 798,00</t>
  </si>
  <si>
    <t>4700</t>
  </si>
  <si>
    <t xml:space="preserve">Szkolenia pracowników niebędących członkami korpusu służby cywilnej </t>
  </si>
  <si>
    <t>1 867,00</t>
  </si>
  <si>
    <t>75022</t>
  </si>
  <si>
    <t>Rady gmin (miast i miast na prawach powiatu)</t>
  </si>
  <si>
    <t>3030</t>
  </si>
  <si>
    <t xml:space="preserve">Różne wydatki na rzecz osób fizycznych </t>
  </si>
  <si>
    <t>300 547,24</t>
  </si>
  <si>
    <t>4190</t>
  </si>
  <si>
    <t>Nagrody konkursowe</t>
  </si>
  <si>
    <t>4420</t>
  </si>
  <si>
    <t>Podróże służbowe zagraniczne</t>
  </si>
  <si>
    <t>3020</t>
  </si>
  <si>
    <t>Wydatki osobowe niezaliczone do wynagrodzeń</t>
  </si>
  <si>
    <t>6 500,00</t>
  </si>
  <si>
    <t>2 379 923,69</t>
  </si>
  <si>
    <t>4018</t>
  </si>
  <si>
    <t>6 666,07</t>
  </si>
  <si>
    <t>4019</t>
  </si>
  <si>
    <t>2 047,72</t>
  </si>
  <si>
    <t>4040</t>
  </si>
  <si>
    <t>Dodatkowe wynagrodzenie roczne</t>
  </si>
  <si>
    <t>194 474,16</t>
  </si>
  <si>
    <t>419 650,51</t>
  </si>
  <si>
    <t>4118</t>
  </si>
  <si>
    <t>1 145,89</t>
  </si>
  <si>
    <t>4119</t>
  </si>
  <si>
    <t>352,02</t>
  </si>
  <si>
    <t>51 393,49</t>
  </si>
  <si>
    <t>4128</t>
  </si>
  <si>
    <t>163,33</t>
  </si>
  <si>
    <t>4129</t>
  </si>
  <si>
    <t>50,17</t>
  </si>
  <si>
    <t>4140</t>
  </si>
  <si>
    <t>Wpłaty na Państwowy Fundusz Rehabilitacji Osób Niepełnosprawnych</t>
  </si>
  <si>
    <t>20 110,00</t>
  </si>
  <si>
    <t>27 100,00</t>
  </si>
  <si>
    <t>74 000,00</t>
  </si>
  <si>
    <t>128 000,00</t>
  </si>
  <si>
    <t>4280</t>
  </si>
  <si>
    <t>Zakup usług zdrowotnych</t>
  </si>
  <si>
    <t>267 500,00</t>
  </si>
  <si>
    <t>4360</t>
  </si>
  <si>
    <t>Opłaty z tytułu zakupu usług telekomunikacyjnych</t>
  </si>
  <si>
    <t>34 000,00</t>
  </si>
  <si>
    <t>4380</t>
  </si>
  <si>
    <t>Zakup usług obejmujacych tłumaczenia</t>
  </si>
  <si>
    <t>246,00</t>
  </si>
  <si>
    <t>4390</t>
  </si>
  <si>
    <t>Zakup usług obejmujących wykonanie ekspertyz, analiz i opinii</t>
  </si>
  <si>
    <t>92 072,00</t>
  </si>
  <si>
    <t>4410</t>
  </si>
  <si>
    <t>Podróże służbowe krajowe</t>
  </si>
  <si>
    <t>38 000,00</t>
  </si>
  <si>
    <t>1 200,00</t>
  </si>
  <si>
    <t>21 000,00</t>
  </si>
  <si>
    <t>4440</t>
  </si>
  <si>
    <t>Odpisy na zakładowy fundusz świadczeń socjalnych</t>
  </si>
  <si>
    <t>76 270,00</t>
  </si>
  <si>
    <t>11 980,63</t>
  </si>
  <si>
    <t>33 754,00</t>
  </si>
  <si>
    <t>13 000,00</t>
  </si>
  <si>
    <t>32 700,00</t>
  </si>
  <si>
    <t>75075</t>
  </si>
  <si>
    <t>Promocja jednostek samorządu terytorialnego</t>
  </si>
  <si>
    <t>31 500,00</t>
  </si>
  <si>
    <t>47 000,00</t>
  </si>
  <si>
    <t>850,00</t>
  </si>
  <si>
    <t>591 189,00</t>
  </si>
  <si>
    <t>31 159,00</t>
  </si>
  <si>
    <t>98 749,00</t>
  </si>
  <si>
    <t>8 648,00</t>
  </si>
  <si>
    <t>32 500,00</t>
  </si>
  <si>
    <t>24 299,00</t>
  </si>
  <si>
    <t>42 071,00</t>
  </si>
  <si>
    <t>2 880,00</t>
  </si>
  <si>
    <t>3 600,00</t>
  </si>
  <si>
    <t>63,00</t>
  </si>
  <si>
    <t>10 392,00</t>
  </si>
  <si>
    <t>9 450,00</t>
  </si>
  <si>
    <t>75095</t>
  </si>
  <si>
    <t>106 080,00</t>
  </si>
  <si>
    <t>4100</t>
  </si>
  <si>
    <t>Wynagrodzenia agencyjno-prowizyjne</t>
  </si>
  <si>
    <t>71 200,00</t>
  </si>
  <si>
    <t>2 947,71</t>
  </si>
  <si>
    <t>506,71</t>
  </si>
  <si>
    <t>36,58</t>
  </si>
  <si>
    <t>75405</t>
  </si>
  <si>
    <t>Komendy powiatowe Policji</t>
  </si>
  <si>
    <t>42 500,00</t>
  </si>
  <si>
    <t>6170</t>
  </si>
  <si>
    <t>Wpłaty jednostek na państwowy fundusz celowy na finansowanie lub dofinansowanie zadań inwestycyjnych</t>
  </si>
  <si>
    <t>2820</t>
  </si>
  <si>
    <t>Dotacja celowa z budżetu na finansowanie lub dofinansowanie zadań zleconych do realizacji stowarzyszeniom</t>
  </si>
  <si>
    <t>3 000,00</t>
  </si>
  <si>
    <t>73 000,00</t>
  </si>
  <si>
    <t>7 147,60</t>
  </si>
  <si>
    <t>1 018,72</t>
  </si>
  <si>
    <t>41 580,00</t>
  </si>
  <si>
    <t>840,00</t>
  </si>
  <si>
    <t>146 808,09</t>
  </si>
  <si>
    <t>42 286,56</t>
  </si>
  <si>
    <t>56 260,00</t>
  </si>
  <si>
    <t>29 740,00</t>
  </si>
  <si>
    <t>6230</t>
  </si>
  <si>
    <t>Dotacje celowe z budżetu na finansowanie lub dofinansowanie kosztów realizacji inwestycji i zakupów inwestycyjnych jednostek nie zaliczanych do sektora finansów publicznych</t>
  </si>
  <si>
    <t>122 900,00</t>
  </si>
  <si>
    <t>75414</t>
  </si>
  <si>
    <t>Obrona cywilna</t>
  </si>
  <si>
    <t>3 500,00</t>
  </si>
  <si>
    <t>75415</t>
  </si>
  <si>
    <t>Zadania ratownictwa górskiego i wodnego</t>
  </si>
  <si>
    <t>57 000,00</t>
  </si>
  <si>
    <t>Dotacje celowe z budżetu jednostki samorządu terytorialnego, udzielone w trybie art. 221 ustawy, na finansowanie lub dofinansowanie zadań zleconych do realizacji organizacjom prowadzącym działalność pożytku publicznego</t>
  </si>
  <si>
    <t>75416</t>
  </si>
  <si>
    <t>Straż gminna (miejska)</t>
  </si>
  <si>
    <t>12 830,00</t>
  </si>
  <si>
    <t>757</t>
  </si>
  <si>
    <t>Obsługa długu publicznego</t>
  </si>
  <si>
    <t>326 000,00</t>
  </si>
  <si>
    <t>75702</t>
  </si>
  <si>
    <t>Obsługa papierów wartościowych, kredytów i pożyczek jednostek samorządu terytorialnego</t>
  </si>
  <si>
    <t>8110</t>
  </si>
  <si>
    <t>Odsetki od samorządowych papierów wartościowych lub zaciągniętych przez jednostkę samorządu terytorialnego kredytów i pożyczek</t>
  </si>
  <si>
    <t>71 825,54</t>
  </si>
  <si>
    <t>2940</t>
  </si>
  <si>
    <t>Zwrot do budżetu państwa nienależnie pobranej subwencji ogólnej za lata poprzednie</t>
  </si>
  <si>
    <t>75818</t>
  </si>
  <si>
    <t>Rezerwy ogólne i celowe</t>
  </si>
  <si>
    <t>208 000,00</t>
  </si>
  <si>
    <t>4810</t>
  </si>
  <si>
    <t>Rezerwy</t>
  </si>
  <si>
    <t>376 822,00</t>
  </si>
  <si>
    <t>7 067 373,00</t>
  </si>
  <si>
    <t>519 670,00</t>
  </si>
  <si>
    <t>1 235 542,00</t>
  </si>
  <si>
    <t>157 517,00</t>
  </si>
  <si>
    <t>39 514,00</t>
  </si>
  <si>
    <t>438 963,55</t>
  </si>
  <si>
    <t>4240</t>
  </si>
  <si>
    <t>Zakup środków dydaktycznych i książek</t>
  </si>
  <si>
    <t>258 159,67</t>
  </si>
  <si>
    <t>346 135,00</t>
  </si>
  <si>
    <t>411 245,00</t>
  </si>
  <si>
    <t>23 491,00</t>
  </si>
  <si>
    <t>211 934,00</t>
  </si>
  <si>
    <t>34 905,00</t>
  </si>
  <si>
    <t>11 160,00</t>
  </si>
  <si>
    <t>5 534,00</t>
  </si>
  <si>
    <t>360 809,00</t>
  </si>
  <si>
    <t>4480</t>
  </si>
  <si>
    <t>Podatek od nieruchomości</t>
  </si>
  <si>
    <t>795,00</t>
  </si>
  <si>
    <t>242 762,00</t>
  </si>
  <si>
    <t>5 000,00</t>
  </si>
  <si>
    <t>17 319,00</t>
  </si>
  <si>
    <t>507 502,00</t>
  </si>
  <si>
    <t>35 902,00</t>
  </si>
  <si>
    <t>92 646,00</t>
  </si>
  <si>
    <t>11 073,00</t>
  </si>
  <si>
    <t>25 300,00</t>
  </si>
  <si>
    <t>450,00</t>
  </si>
  <si>
    <t>7 500,00</t>
  </si>
  <si>
    <t>29 810,00</t>
  </si>
  <si>
    <t>46 900,00</t>
  </si>
  <si>
    <t>2540</t>
  </si>
  <si>
    <t>Dotacja podmiotowa z budżetu dla niepublicznej jednostki systemu oświaty</t>
  </si>
  <si>
    <t>1 381 130,23</t>
  </si>
  <si>
    <t>82 608,00</t>
  </si>
  <si>
    <t>2 254 573,88</t>
  </si>
  <si>
    <t>138 098,00</t>
  </si>
  <si>
    <t>394 839,00</t>
  </si>
  <si>
    <t>47 648,00</t>
  </si>
  <si>
    <t>111 759,00</t>
  </si>
  <si>
    <t>4220</t>
  </si>
  <si>
    <t>Zakup środków żywności</t>
  </si>
  <si>
    <t>8 500,00</t>
  </si>
  <si>
    <t>238 500,00</t>
  </si>
  <si>
    <t>45 551,00</t>
  </si>
  <si>
    <t>73 350,00</t>
  </si>
  <si>
    <t>4330</t>
  </si>
  <si>
    <t>Zakup usług przez jednostki samorządu terytorialnego od innych jednostek samorządu terytorialnego</t>
  </si>
  <si>
    <t>48 000,00</t>
  </si>
  <si>
    <t>50 100,00</t>
  </si>
  <si>
    <t>5 400,00</t>
  </si>
  <si>
    <t>2 899,00</t>
  </si>
  <si>
    <t>1 350,00</t>
  </si>
  <si>
    <t>126 560,00</t>
  </si>
  <si>
    <t>318,00</t>
  </si>
  <si>
    <t>4530</t>
  </si>
  <si>
    <t>Podatek od towarów i usług (VAT).</t>
  </si>
  <si>
    <t>18,00</t>
  </si>
  <si>
    <t>33 000,00</t>
  </si>
  <si>
    <t>2320</t>
  </si>
  <si>
    <t>Dotacje celowe przekazane dla powiatu na zadania bieżące realizowane na podstawie porozumień (umów) między jednostkami samorządu terytorialnego</t>
  </si>
  <si>
    <t>1 300 000,00</t>
  </si>
  <si>
    <t>616 953,00</t>
  </si>
  <si>
    <t>15 271,83</t>
  </si>
  <si>
    <t>48 245,00</t>
  </si>
  <si>
    <t>1 526 512,00</t>
  </si>
  <si>
    <t>124 207,28</t>
  </si>
  <si>
    <t>281 681,00</t>
  </si>
  <si>
    <t>36 497,79</t>
  </si>
  <si>
    <t>4 308,00</t>
  </si>
  <si>
    <t>85 933,14</t>
  </si>
  <si>
    <t>57 518,15</t>
  </si>
  <si>
    <t>131 800,00</t>
  </si>
  <si>
    <t>166 899,04</t>
  </si>
  <si>
    <t>1 665,00</t>
  </si>
  <si>
    <t>51 900,00</t>
  </si>
  <si>
    <t>100 319,00</t>
  </si>
  <si>
    <t>80113</t>
  </si>
  <si>
    <t>Dowożenie uczniów do szkół</t>
  </si>
  <si>
    <t>757 500,00</t>
  </si>
  <si>
    <t>80146</t>
  </si>
  <si>
    <t>Dokształcanie i doskonalenie nauczycieli</t>
  </si>
  <si>
    <t>13 345,00</t>
  </si>
  <si>
    <t>73 714,00</t>
  </si>
  <si>
    <t>252 801,00</t>
  </si>
  <si>
    <t>17 370,87</t>
  </si>
  <si>
    <t>44 274,00</t>
  </si>
  <si>
    <t>3 470,00</t>
  </si>
  <si>
    <t>24 100,00</t>
  </si>
  <si>
    <t>281 600,00</t>
  </si>
  <si>
    <t>255,00</t>
  </si>
  <si>
    <t>9 299,00</t>
  </si>
  <si>
    <t>80149</t>
  </si>
  <si>
    <t>Realizacja zadań wymagających stosowania specjalnej organizacji nauki i metod pracy dla dzieci w przedszkolach, oddziałach przedszkolnych w szkołach podstawowych i innych formach wychowania przedszkolnego</t>
  </si>
  <si>
    <t>112 492,24</t>
  </si>
  <si>
    <t>185 477,12</t>
  </si>
  <si>
    <t>28 781,00</t>
  </si>
  <si>
    <t>36 297,00</t>
  </si>
  <si>
    <t>4 432,00</t>
  </si>
  <si>
    <t>16 203,92</t>
  </si>
  <si>
    <t>10 030,72</t>
  </si>
  <si>
    <t>320,00</t>
  </si>
  <si>
    <t>16 832,00</t>
  </si>
  <si>
    <t>5 334,00</t>
  </si>
  <si>
    <t>331 347,00</t>
  </si>
  <si>
    <t>17 829,00</t>
  </si>
  <si>
    <t>69 226,00</t>
  </si>
  <si>
    <t>11 889,00</t>
  </si>
  <si>
    <t>9 141,03</t>
  </si>
  <si>
    <t>11 303,75</t>
  </si>
  <si>
    <t>13 500,00</t>
  </si>
  <si>
    <t>4 300,00</t>
  </si>
  <si>
    <t>15 805,00</t>
  </si>
  <si>
    <t>Dotacje celowe w ramach programów finansowanych z udziałem środków europejskich oraz środków, o których mowa w art. 5 ust. 1 pkt 3 oraz ust. 3 pkt 5 i 6 ustawy, lub płatności w ramach budżetu środków europejskich, z wyłączeniem wydatków klasyfikowanych w paragrafie 205</t>
  </si>
  <si>
    <t>26 500,00</t>
  </si>
  <si>
    <t>3247</t>
  </si>
  <si>
    <t>Stypendia dla uczniów</t>
  </si>
  <si>
    <t>26 867,56</t>
  </si>
  <si>
    <t>3249</t>
  </si>
  <si>
    <t>3 132,44</t>
  </si>
  <si>
    <t>4017</t>
  </si>
  <si>
    <t>104 094,06</t>
  </si>
  <si>
    <t>12 136,14</t>
  </si>
  <si>
    <t>4117</t>
  </si>
  <si>
    <t>17 841,99</t>
  </si>
  <si>
    <t>2 080,17</t>
  </si>
  <si>
    <t>4127</t>
  </si>
  <si>
    <t>2 550,30</t>
  </si>
  <si>
    <t>297,34</t>
  </si>
  <si>
    <t>15 500,00</t>
  </si>
  <si>
    <t>4217</t>
  </si>
  <si>
    <t>23 106,10</t>
  </si>
  <si>
    <t>4219</t>
  </si>
  <si>
    <t>2 693,90</t>
  </si>
  <si>
    <t>4247</t>
  </si>
  <si>
    <t>261 795,07</t>
  </si>
  <si>
    <t>4249</t>
  </si>
  <si>
    <t>30 522,23</t>
  </si>
  <si>
    <t>4307</t>
  </si>
  <si>
    <t>121 381,80</t>
  </si>
  <si>
    <t>14 144,26</t>
  </si>
  <si>
    <t>172 205,00</t>
  </si>
  <si>
    <t>4707</t>
  </si>
  <si>
    <t>4709</t>
  </si>
  <si>
    <t>6067</t>
  </si>
  <si>
    <t>6069</t>
  </si>
  <si>
    <t>851</t>
  </si>
  <si>
    <t>Ochrona zdrowia</t>
  </si>
  <si>
    <t>85111</t>
  </si>
  <si>
    <t>Szpitale ogólne</t>
  </si>
  <si>
    <t>6220</t>
  </si>
  <si>
    <t>Dotacje celowe z budżetu na finansowanie lub dofinansowanie kosztów realizacji inwestycji i zakupów inwestycyjnych innych jednostek sektora finansów publicznych</t>
  </si>
  <si>
    <t>85153</t>
  </si>
  <si>
    <t>Zwalczanie narkomanii</t>
  </si>
  <si>
    <t>2 400,00</t>
  </si>
  <si>
    <t>85154</t>
  </si>
  <si>
    <t>Przeciwdziałanie alkoholizmowi</t>
  </si>
  <si>
    <t>2710</t>
  </si>
  <si>
    <t>Dotacja celowa na pomoc finansową udzielaną między jednostkami samorządu terytorialnego na dofinansowanie własnych zadań bieżących</t>
  </si>
  <si>
    <t>13 910,00</t>
  </si>
  <si>
    <t>4 884,00</t>
  </si>
  <si>
    <t>541,00</t>
  </si>
  <si>
    <t>131 560,00</t>
  </si>
  <si>
    <t>30 279,00</t>
  </si>
  <si>
    <t>95 238,00</t>
  </si>
  <si>
    <t>1 032,00</t>
  </si>
  <si>
    <t>85195</t>
  </si>
  <si>
    <t>85202</t>
  </si>
  <si>
    <t>Domy pomocy społecznej</t>
  </si>
  <si>
    <t>588 430,00</t>
  </si>
  <si>
    <t>85205</t>
  </si>
  <si>
    <t>Zadania w zakresie przeciwdziałania przemocy w rodzinie</t>
  </si>
  <si>
    <t>Zwrot dotacji oraz płatności wykorzystanych niezgodnie z przeznaczeniem lub wykorzystanych z naruszeniem procedur, o których mowa w art. 184 ustawy, pobranych nienależnie lub w nadmiernej wysokości</t>
  </si>
  <si>
    <t>Zwrot niewykorzystanych dotacji oraz płatności</t>
  </si>
  <si>
    <t>4130</t>
  </si>
  <si>
    <t>Składki na ubezpieczenie zdrowotne</t>
  </si>
  <si>
    <t>110 801,00</t>
  </si>
  <si>
    <t>477 600,00</t>
  </si>
  <si>
    <t>3110</t>
  </si>
  <si>
    <t>Świadczenia społeczne</t>
  </si>
  <si>
    <t>417 156,86</t>
  </si>
  <si>
    <t>343,14</t>
  </si>
  <si>
    <t>421 500,00</t>
  </si>
  <si>
    <t>8 350,00</t>
  </si>
  <si>
    <t>863 271,00</t>
  </si>
  <si>
    <t>61 737,00</t>
  </si>
  <si>
    <t>158 160,00</t>
  </si>
  <si>
    <t>19 193,00</t>
  </si>
  <si>
    <t>56 237,57</t>
  </si>
  <si>
    <t>29 000,00</t>
  </si>
  <si>
    <t>1 700,00</t>
  </si>
  <si>
    <t>88 977,00</t>
  </si>
  <si>
    <t>20 440,00</t>
  </si>
  <si>
    <t>900,00</t>
  </si>
  <si>
    <t>32 280,00</t>
  </si>
  <si>
    <t>6 200,00</t>
  </si>
  <si>
    <t>6 277,92</t>
  </si>
  <si>
    <t>580 834,00</t>
  </si>
  <si>
    <t>325 000,00</t>
  </si>
  <si>
    <t>85232</t>
  </si>
  <si>
    <t>Centra integracji społecznej</t>
  </si>
  <si>
    <t>85295</t>
  </si>
  <si>
    <t>85311</t>
  </si>
  <si>
    <t>Rehabilitacja zawodowa i społeczna osób niepełnosprawnych</t>
  </si>
  <si>
    <t>3117</t>
  </si>
  <si>
    <t>94 714,00</t>
  </si>
  <si>
    <t>90 778,76</t>
  </si>
  <si>
    <t>7 150,45</t>
  </si>
  <si>
    <t>18 622,51</t>
  </si>
  <si>
    <t>1 248,45</t>
  </si>
  <si>
    <t>2 613,01</t>
  </si>
  <si>
    <t>175,17</t>
  </si>
  <si>
    <t>4137</t>
  </si>
  <si>
    <t>6 523,20</t>
  </si>
  <si>
    <t>4177</t>
  </si>
  <si>
    <t>26 522,00</t>
  </si>
  <si>
    <t>16 169,35</t>
  </si>
  <si>
    <t>221,05</t>
  </si>
  <si>
    <t>4287</t>
  </si>
  <si>
    <t>276 241,87</t>
  </si>
  <si>
    <t>11 431,58</t>
  </si>
  <si>
    <t>4417</t>
  </si>
  <si>
    <t>17 027,45</t>
  </si>
  <si>
    <t>4419</t>
  </si>
  <si>
    <t>530,53</t>
  </si>
  <si>
    <t>4437</t>
  </si>
  <si>
    <t>85401</t>
  </si>
  <si>
    <t>Świetlice szkolne</t>
  </si>
  <si>
    <t>1 834,00</t>
  </si>
  <si>
    <t>611 330,00</t>
  </si>
  <si>
    <t>46 664,19</t>
  </si>
  <si>
    <t>113 976,00</t>
  </si>
  <si>
    <t>14 292,13</t>
  </si>
  <si>
    <t>15 400,00</t>
  </si>
  <si>
    <t>6 700,00</t>
  </si>
  <si>
    <t>2 500,00</t>
  </si>
  <si>
    <t>37 055,00</t>
  </si>
  <si>
    <t>3240</t>
  </si>
  <si>
    <t>231 292,00</t>
  </si>
  <si>
    <t>3260</t>
  </si>
  <si>
    <t>Inne formy pomocy dla uczniów</t>
  </si>
  <si>
    <t>85416</t>
  </si>
  <si>
    <t>Pomoc materialna dla uczniów o charakterze motywacyjnym</t>
  </si>
  <si>
    <t>8 200,00</t>
  </si>
  <si>
    <t>14 723 732,00</t>
  </si>
  <si>
    <t>112 000,00</t>
  </si>
  <si>
    <t>2 190,00</t>
  </si>
  <si>
    <t>1 602,00</t>
  </si>
  <si>
    <t>1 876,00</t>
  </si>
  <si>
    <t>4560</t>
  </si>
  <si>
    <t>Odsetki od dotacji oraz płatności: wykorzystanych niezgodnie z przeznaczeniem lub wykorzystanych z naruszeniem procedur, o których mowa w art. 184 ustawy, pobranych nienależnie lub  w nadmiernej wysokości</t>
  </si>
  <si>
    <t>2 600,00</t>
  </si>
  <si>
    <t>7 302 991,00</t>
  </si>
  <si>
    <t>141 387,79</t>
  </si>
  <si>
    <t>8 969,00</t>
  </si>
  <si>
    <t>277 647,71</t>
  </si>
  <si>
    <t>2 509,50</t>
  </si>
  <si>
    <t>9 010,00</t>
  </si>
  <si>
    <t>4 020,00</t>
  </si>
  <si>
    <t>22 000,00</t>
  </si>
  <si>
    <t>4 029,00</t>
  </si>
  <si>
    <t>272,72</t>
  </si>
  <si>
    <t>47,61</t>
  </si>
  <si>
    <t>6,67</t>
  </si>
  <si>
    <t>1 600,00</t>
  </si>
  <si>
    <t>101 113,43</t>
  </si>
  <si>
    <t>3 458,51</t>
  </si>
  <si>
    <t>16 709,00</t>
  </si>
  <si>
    <t>2 345,00</t>
  </si>
  <si>
    <t>3 529,00</t>
  </si>
  <si>
    <t>85508</t>
  </si>
  <si>
    <t>Rodziny zastępcze</t>
  </si>
  <si>
    <t>115 600,00</t>
  </si>
  <si>
    <t>85510</t>
  </si>
  <si>
    <t>Działalność placówek opiekuńczo-wychowawczych</t>
  </si>
  <si>
    <t>151 530,00</t>
  </si>
  <si>
    <t>90001</t>
  </si>
  <si>
    <t>Gospodarka ściekowa i ochrona wód</t>
  </si>
  <si>
    <t>295 000,00</t>
  </si>
  <si>
    <t>78 810,00</t>
  </si>
  <si>
    <t>135 135,35</t>
  </si>
  <si>
    <t>8 687,02</t>
  </si>
  <si>
    <t>24 767,56</t>
  </si>
  <si>
    <t>2 716,20</t>
  </si>
  <si>
    <t>19 000,00</t>
  </si>
  <si>
    <t>1 715 481,01</t>
  </si>
  <si>
    <t>200,00</t>
  </si>
  <si>
    <t>5 039,00</t>
  </si>
  <si>
    <t>1 582,04</t>
  </si>
  <si>
    <t>90003</t>
  </si>
  <si>
    <t>Oczyszczanie miast i wsi</t>
  </si>
  <si>
    <t>360 000,00</t>
  </si>
  <si>
    <t>90004</t>
  </si>
  <si>
    <t>Utrzymanie zieleni w miastach i gminach</t>
  </si>
  <si>
    <t>79 301,00</t>
  </si>
  <si>
    <t>182 581,00</t>
  </si>
  <si>
    <t>90005</t>
  </si>
  <si>
    <t>Ochrona powietrza atmosferycznego i klimatu</t>
  </si>
  <si>
    <t>47 190,00</t>
  </si>
  <si>
    <t>90013</t>
  </si>
  <si>
    <t>Schroniska dla zwierząt</t>
  </si>
  <si>
    <t>113 850,00</t>
  </si>
  <si>
    <t>173,00</t>
  </si>
  <si>
    <t>25,00</t>
  </si>
  <si>
    <t>3 952,00</t>
  </si>
  <si>
    <t>90015</t>
  </si>
  <si>
    <t>Oświetlenie ulic, placów i dróg</t>
  </si>
  <si>
    <t>550 000,00</t>
  </si>
  <si>
    <t>400 100,00</t>
  </si>
  <si>
    <t>182 169,13</t>
  </si>
  <si>
    <t>7 000,00</t>
  </si>
  <si>
    <t>4 125,60</t>
  </si>
  <si>
    <t>588,00</t>
  </si>
  <si>
    <t>24 000,00</t>
  </si>
  <si>
    <t>185 000,00</t>
  </si>
  <si>
    <t>41 500,00</t>
  </si>
  <si>
    <t>92105</t>
  </si>
  <si>
    <t>Pozostałe zadania w zakresie kultury</t>
  </si>
  <si>
    <t>32 122,59</t>
  </si>
  <si>
    <t>2480</t>
  </si>
  <si>
    <t>Dotacja podmiotowa z budżetu dla samorządowej instytucji kultury</t>
  </si>
  <si>
    <t>1 028 680,00</t>
  </si>
  <si>
    <t>344,00</t>
  </si>
  <si>
    <t>49,00</t>
  </si>
  <si>
    <t>45 919,46</t>
  </si>
  <si>
    <t>187 687,57</t>
  </si>
  <si>
    <t>34 708,53</t>
  </si>
  <si>
    <t>1 325,00</t>
  </si>
  <si>
    <t>5 265,00</t>
  </si>
  <si>
    <t>92116</t>
  </si>
  <si>
    <t>Biblioteki</t>
  </si>
  <si>
    <t>319 620,00</t>
  </si>
  <si>
    <t>337,90</t>
  </si>
  <si>
    <t>92118</t>
  </si>
  <si>
    <t>Muzea</t>
  </si>
  <si>
    <t>498 700,00</t>
  </si>
  <si>
    <t>102 765,38</t>
  </si>
  <si>
    <t>6057</t>
  </si>
  <si>
    <t>6059</t>
  </si>
  <si>
    <t>92120</t>
  </si>
  <si>
    <t>Ochrona zabytków i opieka nad zabytkami</t>
  </si>
  <si>
    <t>200 000,00</t>
  </si>
  <si>
    <t>2720</t>
  </si>
  <si>
    <t>Dotacje celowe z budżetu na finansowanie lub dofinansowanie prac remontowych i konserwatorskich obiektów zabytkowych przekazane jednostkom niezaliczanym do sektora finansów publicznych</t>
  </si>
  <si>
    <t>92127</t>
  </si>
  <si>
    <t>Działalność dotycząca miejsc pamięci narodowej oraz ochrony pamięci walk i męczeństwa</t>
  </si>
  <si>
    <t>92195</t>
  </si>
  <si>
    <t>38 251,78</t>
  </si>
  <si>
    <t>25 853,85</t>
  </si>
  <si>
    <t>8 734,00</t>
  </si>
  <si>
    <t>823,00</t>
  </si>
  <si>
    <t>55 000,00</t>
  </si>
  <si>
    <t>14 900,00</t>
  </si>
  <si>
    <t>15 589,00</t>
  </si>
  <si>
    <t>36 411,00</t>
  </si>
  <si>
    <t>14 100,00</t>
  </si>
  <si>
    <t>242 812,24</t>
  </si>
  <si>
    <t>6058</t>
  </si>
  <si>
    <t>171 793,00</t>
  </si>
  <si>
    <t>339 442,30</t>
  </si>
  <si>
    <t>213 500,00</t>
  </si>
  <si>
    <t>26 920,00</t>
  </si>
  <si>
    <t>89 176,64</t>
  </si>
  <si>
    <t>86 697,99</t>
  </si>
  <si>
    <t>8 435,11</t>
  </si>
  <si>
    <t>Lp.</t>
  </si>
  <si>
    <t>Nazwa zadania majątkowego</t>
  </si>
  <si>
    <t xml:space="preserve">Dział </t>
  </si>
  <si>
    <t>Nakłady do poniesienia</t>
  </si>
  <si>
    <t>6</t>
  </si>
  <si>
    <t>7</t>
  </si>
  <si>
    <t>8</t>
  </si>
  <si>
    <t>9</t>
  </si>
  <si>
    <t>1</t>
  </si>
  <si>
    <t>Wniesienie wyładu pieniężnego do spólki prawa handlowego - AQUABELLIS sp. z o.o. w Rogoźnie</t>
  </si>
  <si>
    <t>2</t>
  </si>
  <si>
    <t>Budowa pomieszczeń magazynowych wraz z infrastrukturą w m. Parkowo
-przedsiewzięcie funduszu sołeckiego</t>
  </si>
  <si>
    <t>3</t>
  </si>
  <si>
    <t>Przebudowa drogi powiatowej nr 2027P na odcinku 0,5 km w Garbatce (pomoc finansowa)</t>
  </si>
  <si>
    <t>4</t>
  </si>
  <si>
    <t>Dofinansowanie przebudowy drogi nr 2030P na odcinku ulicy ZA Jeziorem na długości 0,7 km</t>
  </si>
  <si>
    <t>5</t>
  </si>
  <si>
    <t>Budowa ulicy Seminarialnej i Długiej w Rogoźnie</t>
  </si>
  <si>
    <t>x</t>
  </si>
  <si>
    <t>Budowa drogi w m. Jaracz</t>
  </si>
  <si>
    <t>Budowa parkingu na ul. Kościuszki przy sali gimnastycznej - 10 miejsc postojowych</t>
  </si>
  <si>
    <t>Przebudowa drogi w m. Parkowo</t>
  </si>
  <si>
    <t>środki własne</t>
  </si>
  <si>
    <t xml:space="preserve">pomoc finansowa </t>
  </si>
  <si>
    <t>Projekt budowy ul. Kochanowskiego w Rogoźnie</t>
  </si>
  <si>
    <t>10</t>
  </si>
  <si>
    <t>Budowa ul. Smolary w Rogoźnie</t>
  </si>
  <si>
    <t>11</t>
  </si>
  <si>
    <t>Przebudowa drogi w m. Stare</t>
  </si>
  <si>
    <t>12</t>
  </si>
  <si>
    <t>Budowa parkingu między budynkiem nr 10 przy ul. Seminarialnej, a budynkiem nr 9 na Osiedlu Przemysława w Rogoźnie</t>
  </si>
  <si>
    <t>13</t>
  </si>
  <si>
    <t>Przebudowa parkingu między budynkiem nr 10, a budynkiem Przedszkola nr 2 w Rogoźnie</t>
  </si>
  <si>
    <t>14</t>
  </si>
  <si>
    <t>Wykonanie ronda na drodze gminnej oraz progu zwalniającego w m. Rogoźno</t>
  </si>
  <si>
    <t>15</t>
  </si>
  <si>
    <t>16</t>
  </si>
  <si>
    <t>Przebudowa chodnika łaczącego ul. Ogrodową z ul. Kościuszki w Rogoźnie</t>
  </si>
  <si>
    <t>17</t>
  </si>
  <si>
    <t>Budowa chodnika na ul. Polnej w Rogoźnie (lewa strona)</t>
  </si>
  <si>
    <t>18</t>
  </si>
  <si>
    <t>Wykonanie dokumentacji technicznej rozbudowy, zagospodarowania terenu Ośrodka Rekreacyjnego</t>
  </si>
  <si>
    <t>19</t>
  </si>
  <si>
    <t>Budowa monitoringu wizyjnego 
(Park Zwycięstwa i Rondo Melzera)</t>
  </si>
  <si>
    <t>20</t>
  </si>
  <si>
    <t>Zakup elementów na plac zabaw w m. Słomowo i Sierniki</t>
  </si>
  <si>
    <t>21</t>
  </si>
  <si>
    <t>Zakup gruntów (od SM w Obornikach)</t>
  </si>
  <si>
    <t>22</t>
  </si>
  <si>
    <t>Zakup gruntów</t>
  </si>
  <si>
    <t>23</t>
  </si>
  <si>
    <t>Zakup nieruchomosci przy ul. Fabrycznej (lokale socjalne)</t>
  </si>
  <si>
    <t>24</t>
  </si>
  <si>
    <t xml:space="preserve">Wykonanie monitoringu budynku i parkingu Urzędu Miejskiego </t>
  </si>
  <si>
    <t>25</t>
  </si>
  <si>
    <t>Zakupy inwestycyjne:
- urządzenie UTM (ruter do zabezpieczenia internetu
- drukarki do kart plastikowych</t>
  </si>
  <si>
    <t>26</t>
  </si>
  <si>
    <t>Dofinansowanie zakupu samochodu dla Komisariatu Policji w Rogoźnie</t>
  </si>
  <si>
    <t>27</t>
  </si>
  <si>
    <t>Rozbudowa budynku remizy OSP Owieczki - etap III</t>
  </si>
  <si>
    <t>28</t>
  </si>
  <si>
    <t>Rozbudowa remizy OSP Parkowo
-przedsiewzięcie funduszu sołeckiego</t>
  </si>
  <si>
    <t>29</t>
  </si>
  <si>
    <t>Zakup bramy garażowej do remizy OSP Budziszewko</t>
  </si>
  <si>
    <t>30</t>
  </si>
  <si>
    <t>Zakup dyfibrylatorów AED</t>
  </si>
  <si>
    <t>31</t>
  </si>
  <si>
    <t>Sfinansowanie zakupu pieca centralnego ogrzewania do remiza OSP Rogoźno</t>
  </si>
  <si>
    <t>32</t>
  </si>
  <si>
    <t>Dofinansowanie zakupu samochodu ratowniczo - gaśniczego typu lekkiego dla OSP Parkowo</t>
  </si>
  <si>
    <t>33</t>
  </si>
  <si>
    <t>Modernizacja pionów kanalizacyjnych i toalet w budynku Szkoły Podstawowej nr 3 w Rogoźnie</t>
  </si>
  <si>
    <t>34</t>
  </si>
  <si>
    <t>Zakup klimatyzacji</t>
  </si>
  <si>
    <t>35</t>
  </si>
  <si>
    <t>Zakup zmywarki dla Przedszkola Nr 1 w Rogoźnie</t>
  </si>
  <si>
    <t>36</t>
  </si>
  <si>
    <t>Zakup materiałów do przebudowy chodnika na terenie Przedszkola nr 2 w Rogoźnie</t>
  </si>
  <si>
    <t>37</t>
  </si>
  <si>
    <t>Zakup zmywarki dla Przedszkola w Parkowie</t>
  </si>
  <si>
    <t>38</t>
  </si>
  <si>
    <t>Zakupy inwestycyjne w porojekcie z EFS/WRPO</t>
  </si>
  <si>
    <t>:Powiedz mi, a zapomnę. Pokaż mi, a zapamietam. Pozwól mi zrobić, a zrozumiem - nowe kompetencje uczniów i nauczycieli w Gminie Rogoźno"</t>
  </si>
  <si>
    <t>39</t>
  </si>
  <si>
    <t>Dofinansowanie zakupu skanera do Aparatu RTG - SPZOZ w Obornikach</t>
  </si>
  <si>
    <t>40</t>
  </si>
  <si>
    <t>Zakup programu do nadzoru i zabezpieczenia stanowisk komputerowych</t>
  </si>
  <si>
    <t>Dofinansowanie termomodernizacji budynku gminy Ryczywół zajmowanego na Warsztaty Terapii Zajęciowej w Wiardunkach</t>
  </si>
  <si>
    <t>41</t>
  </si>
  <si>
    <t xml:space="preserve">Przebudowa budynku z przeznaczeniem na Środowiskowy Dom Samopomocy w Rogoźnie 
- etap I opracowanie dokumentacji technicznej </t>
  </si>
  <si>
    <t>42</t>
  </si>
  <si>
    <t>Dofinansowanie budowy przydomowych oczyszczalni ścieków na terenie gminy Rogoźno</t>
  </si>
  <si>
    <t>43</t>
  </si>
  <si>
    <t>Dofinansowanie wymiany źródeł ciepła w budynkach i lokalach mieszkalnych zlokalizowanych na terenie gminy Rogoźno</t>
  </si>
  <si>
    <t>44</t>
  </si>
  <si>
    <t>Dofinansowanie budowy schroniska dla bezdomnych zwierząt wraz ze zmianą sposobu użytkowania dwóch istniejących części budynków na cele schroniska wraz z przyległą infrastrukturą techniczną i zbiornikiem p.poż. - Gmina Oborniki</t>
  </si>
  <si>
    <t>45</t>
  </si>
  <si>
    <t>Budowa oświetlenia  przy ul. Szarych Szeregów w Rogoźnie</t>
  </si>
  <si>
    <t>46</t>
  </si>
  <si>
    <t>Budowa oświetlenia przy ul. Wąskiej w Rogoźnie</t>
  </si>
  <si>
    <t>47</t>
  </si>
  <si>
    <t>Budowa oświelenia wraz z dokumentacją techniczną na terenie gminy Rogoźno</t>
  </si>
  <si>
    <t>48</t>
  </si>
  <si>
    <t>Opracowanie projektu termomodernizacji  budynku gminnego przy ul. II Armii WP</t>
  </si>
  <si>
    <t>49</t>
  </si>
  <si>
    <t>Zakup kontenera magazynowego dla sołectwa Garbatka</t>
  </si>
  <si>
    <t>50</t>
  </si>
  <si>
    <t>Dobudowa zadaszenia przy budynku świetlicy w m. Studzieniec</t>
  </si>
  <si>
    <t>51</t>
  </si>
  <si>
    <t>Modernizacja oraz wyposażenie Muzeum Regionalnego im. Wojciechy Dutkiewicz w Rogoźnie wraz z zagospodarowaniem otoczenia Placu Karola Marcinkowskiego</t>
  </si>
  <si>
    <t>52</t>
  </si>
  <si>
    <t>Budowa boiska wileofunkcyjnego przy ul. Seminalrialnej wraz z wyposażeniem</t>
  </si>
  <si>
    <t>EFR/PROW na lata 2014-2020</t>
  </si>
  <si>
    <t>udział własny</t>
  </si>
  <si>
    <t>53</t>
  </si>
  <si>
    <t>Przebudowa placu zabaw oraz siłowni zewnetrznej przy ul. Różanej w Rogoźnie</t>
  </si>
  <si>
    <t>54</t>
  </si>
  <si>
    <t>Budowa ogrodzenia boisk sportowych w m. Studzieniec, Tarnowo oraz mini boiska w Owczegłowach</t>
  </si>
  <si>
    <t>55</t>
  </si>
  <si>
    <t>Budowa placu rekreacyjno - sportowego w Rogoźnie
(przy ROD 
im. K. Marcinkowskiego)</t>
  </si>
  <si>
    <t>56</t>
  </si>
  <si>
    <t>57</t>
  </si>
  <si>
    <t>Dotacje udzielone z budżetu Gminy  na zadania bieżące</t>
  </si>
  <si>
    <t>§</t>
  </si>
  <si>
    <t xml:space="preserve">I. </t>
  </si>
  <si>
    <t>Dotacje dla jednostek sektora finansów publicznych</t>
  </si>
  <si>
    <t xml:space="preserve">1. </t>
  </si>
  <si>
    <t xml:space="preserve">Dotacja podmiotowa </t>
  </si>
  <si>
    <t>2.</t>
  </si>
  <si>
    <t xml:space="preserve">Dotacje celowe </t>
  </si>
  <si>
    <t>Transport i łaczność</t>
  </si>
  <si>
    <t xml:space="preserve">Dotacje celowe przekazane gminie na zadania bieżące realizowane na podstawie porozumień (umów)  między jednostkami samorządu terytorialnego </t>
  </si>
  <si>
    <t>Przedszkola</t>
  </si>
  <si>
    <t xml:space="preserve">Dotacje celowe przekazane dla powiatu na zadania bieżące realizowane na podstawie porozumień (umów)  między jednostkami samorządu terytorialnego </t>
  </si>
  <si>
    <t>Dotacja celowa na pomoc finansową udzieloną między jednostkami samorządu terytorialnego na dofiansowanie własnych zadań bieżących</t>
  </si>
  <si>
    <t>Dotacje celowe przekazane do powiatu na zadania bieżące realizowane na podstawie porozumień (umów)  między jednostkami samorządu terytorialnego</t>
  </si>
  <si>
    <t>3.</t>
  </si>
  <si>
    <t>Dotacja przedmiotowa</t>
  </si>
  <si>
    <t>Zakład gospodarki mieszkaniowej</t>
  </si>
  <si>
    <t xml:space="preserve">II. </t>
  </si>
  <si>
    <t>Dotacje dla jednostek spoza sektora finansów publicznych</t>
  </si>
  <si>
    <t>1.</t>
  </si>
  <si>
    <t>Realizacja zdań wymagających stosowania specjalnej organizacji nauk i metod pracy dla dzieci w przedszkolach, oddziałach przedszkolnych w szkołach podstawowych i innych form wychowania przedszkolnego</t>
  </si>
  <si>
    <t>Realizacja zdań wymagających stosowania specjalnej organizacji nauk i metod pracy dla dzieci i młodzieży w szkołach podstawowych, gimnazjach, liceach ogólnokształcących, liceach profilowanych i szkołach zawodowych oraz szkołach artystycznych</t>
  </si>
  <si>
    <t>Dotacja celowa</t>
  </si>
  <si>
    <t>Dotacja celowa z budżetu na finansowanie lub dofinansowanie zadań zleconych do realizacji pozostałym jednostkom niezaliczanym do sektora finansów publicznych</t>
  </si>
  <si>
    <t>Dotacja celowa z budżetu jednostki samorządu terytorialnego, udzielone w trybie art. 221 ustawy, na finansowanie lub dofinansowanie zadań zleconych do realizacji organizacjom prowadzącym działalność pożytku publicznego</t>
  </si>
  <si>
    <t>Gimnnazja</t>
  </si>
  <si>
    <t>Dotacje celowe w ramach programów finansowanych z udziałem środków europiejskich oraz środków, o kórych mowa w art. 5 ust.1 pkt 3 oraz ust. 3 pkt 5 i 6 ustawy, lub płatności w ramach budżetu środków europejskich, z wyłączeniem dochodów klasyfikowanych w paragrafie 205</t>
  </si>
  <si>
    <t>Kultura fizyczna i sport</t>
  </si>
  <si>
    <t>RAZEM:</t>
  </si>
  <si>
    <t>Dotacje udzielone z budżetu na zadania majątkowe</t>
  </si>
  <si>
    <t xml:space="preserve">Plan
</t>
  </si>
  <si>
    <t>Dotacja celowa na pomoc finansową udzieloną między jednostkami samorządu terytorialnego na dofinansowanie własnych zadań inwestycyjnych i zakupów inwestycyjnych</t>
  </si>
  <si>
    <t>Dotacja celowa zbudżetu na finansowanie lub dofinansowanie kosztów realizacji inwestycyji i zakupów inwestycyjnych innych jedostek sektora finansów publicznych</t>
  </si>
  <si>
    <t>Dotacja celowa z budżetu na finansowanie lub dofinansowanie kosztów realizacji inwestycji i zakupów inwestycyjnych jednostek niezaliczanych do sektora finansow publicznych</t>
  </si>
  <si>
    <t>Ochornicze straże pożarne</t>
  </si>
  <si>
    <t>Dotacja celowa z budżetu na finansowanie lub dofinansowanie kosztów realizacji inwestycji i zakupów inwestycyjnych jednostek niezaliczanych do sektora finansów publicznych</t>
  </si>
  <si>
    <t>Ochrona komunalna i ochrona środowiska</t>
  </si>
  <si>
    <t>Gospodarka  ściekowa i ochrona wód</t>
  </si>
  <si>
    <t>DOCHODY</t>
  </si>
  <si>
    <t>Plan</t>
  </si>
  <si>
    <t xml:space="preserve"> WYDATKI</t>
  </si>
  <si>
    <t>Gospodarka ściekowa i ochrona środowiska</t>
  </si>
  <si>
    <t>a) plan dotacji i wydatków zadań zleconych</t>
  </si>
  <si>
    <t>Nazwa</t>
  </si>
  <si>
    <t>Dotacje</t>
  </si>
  <si>
    <t xml:space="preserve">Wydatki </t>
  </si>
  <si>
    <t>Dotacje celowe otrzymane z budżetu państwa na realizację zadań bieżących z zakresu administracji rządowej oraz innych zadań zleconych gminie (związkom gmin) ustawami</t>
  </si>
  <si>
    <t>Szkolenia pracowników niebędących członkami korpusu służby cywilnej</t>
  </si>
  <si>
    <t xml:space="preserve">Urzędy naczelnych organów władzy państwowej, kontroli i ochrony prawa </t>
  </si>
  <si>
    <t>Składki na ubezpieczenie zdrowotne opłacane za osoby pobierające niektóre świadczenia z pomocy społecznej, niektóre świadczenia rozdzinne oraz za osoby uczestniczące w zajęciach w centrum intergacji społecznej</t>
  </si>
  <si>
    <t>Świadczenia wychowawcze</t>
  </si>
  <si>
    <t>Dotacje celowe otrzymane z budżetu państwa na zadania bieżące z zakresu administracji rządowej zlecone gminom (związkom gmin, związkom powiatowo-gminnym), związane z realizacją świadczenia wychowawczego stanowiącego pomoc państwa w wychowaniu dzieci</t>
  </si>
  <si>
    <t>Dodatkowe wynagrodzenia roczne</t>
  </si>
  <si>
    <t>Opłaty z tytułu zakupu usług telekomunikacyjnych telefonii komórkowej</t>
  </si>
  <si>
    <t>Świadczenia rodzinne, świadczenie z funduszu alimentacyjnego oraz składki na ubezpieczenia emerytalne i rentowe z ubezpieczenia społecznego</t>
  </si>
  <si>
    <t xml:space="preserve">Opłaty z tytułu zakupu usług telekomunikacyjnych </t>
  </si>
  <si>
    <t>b) plan dotacji i wydatków na mocy porozumień z organami administracji rządowej</t>
  </si>
  <si>
    <t>OGÓŁEM (poz. a+b)</t>
  </si>
  <si>
    <t>c) plan dochodów</t>
  </si>
  <si>
    <t>Dochody</t>
  </si>
  <si>
    <t>0980</t>
  </si>
  <si>
    <t>Wpływy z tytułu zwrotów wypłaconych świadczeń z funduszu alimentacyjnego</t>
  </si>
  <si>
    <t>Ogółem plan dochodów:</t>
  </si>
  <si>
    <t>PRZYCHODÓW I ROZCHODÓW ZWIĄZANY Z FINANSOWANIEM DEFICYTU</t>
  </si>
  <si>
    <t xml:space="preserve"> I ROZDYSPONOWANIEM NADWYŻKI BUDŻETOWEJ W 2017 ROKU</t>
  </si>
  <si>
    <t>Wyszczególnienie źródeł</t>
  </si>
  <si>
    <t>Spłata otrzymanych krajowych pożyczek i kredytów</t>
  </si>
  <si>
    <t>4.</t>
  </si>
  <si>
    <t>5.</t>
  </si>
  <si>
    <t>Przychody z zaciągniętych pożyczek i kredytów na rynku krajowym</t>
  </si>
  <si>
    <t>6.</t>
  </si>
  <si>
    <t>Wolne środki, o których mowa w art. 217 ust.2 pkt 6 ustawy</t>
  </si>
  <si>
    <t>RAZEM PRZYCHODY/ROZCHODY</t>
  </si>
  <si>
    <t xml:space="preserve">OGÓŁEM </t>
  </si>
  <si>
    <t>Dotacje celowe otrzymane z budżetu państwa na realizację własnych zadań bieżących gmin (związków gmin)</t>
  </si>
  <si>
    <t>Dotacje celowe otrzymane z budżetu państwa na realizację inwestycji i zakupów inwestycyjnych własnych gmin (związków gmin, zwiazków powiatowo-gminnych)</t>
  </si>
  <si>
    <t>Dotacja podmiotowa z budzetu dla niepublicznych jednostek systemu oświaty</t>
  </si>
  <si>
    <t>Oddziały przedszkole przy szkołach podstawowych</t>
  </si>
  <si>
    <t>Wydatki osobowe niezaliczane do wynagrodzeń</t>
  </si>
  <si>
    <t>OGÓŁEM:</t>
  </si>
  <si>
    <t>Sołectwo</t>
  </si>
  <si>
    <t>Garbatka</t>
  </si>
  <si>
    <t>Budowa wiaty biesiadnej wraz z budynkiem przyległym - Wielkopolska Odnowa Wsi</t>
  </si>
  <si>
    <t>Gościejewo</t>
  </si>
  <si>
    <t>Poprawa estetyki terenu przy Amfiteatrze wraz z zagospodarowaniem miejsca rekreacji i sportu</t>
  </si>
  <si>
    <t>Owczegłowy</t>
  </si>
  <si>
    <t>Aktywne sołectwo</t>
  </si>
  <si>
    <t>Jaracz</t>
  </si>
  <si>
    <t>Wkład własny - budowa siełowni zewnętrznej etap I</t>
  </si>
  <si>
    <t>Wydatki inwestycyjne</t>
  </si>
  <si>
    <t>Parkowo</t>
  </si>
  <si>
    <t>Budowa pomieszczeń magazynowych wraz z infrastrukturą w ramach projektu "Odnowa wsi"</t>
  </si>
  <si>
    <t xml:space="preserve">Transport i łączność </t>
  </si>
  <si>
    <t>Budziszewko</t>
  </si>
  <si>
    <t>Zakup materiału do utwardzenia drogi</t>
  </si>
  <si>
    <t>Remont dróg gminnych - zakup paliwa do maszyn</t>
  </si>
  <si>
    <t>1) Zakup materiałów do wykonania chodnika przy przystanku autobusowym - 800 zł
2) Odnowienie barier przy moście na rzece Flincie i Wełnie - 1.500 zł minus 1.500 zł= 0,00</t>
  </si>
  <si>
    <t>Karolewo</t>
  </si>
  <si>
    <t>Zakup kruszywa na utwardzenie dróg gruntowych</t>
  </si>
  <si>
    <t>Nienawiszcz</t>
  </si>
  <si>
    <t>Zakup drobnego gruzu do rozsypania i wyrównania drogi od krzyża do działek nr 3</t>
  </si>
  <si>
    <t>Owieczki</t>
  </si>
  <si>
    <t>Pruśce</t>
  </si>
  <si>
    <t>Zakup kruszywa w celu utwardzenia drogi</t>
  </si>
  <si>
    <t>Studzieniec</t>
  </si>
  <si>
    <t>Utwardzenie dróg</t>
  </si>
  <si>
    <t xml:space="preserve">Wycinka krzewów przy drogach gminnych na terenie sołectwa </t>
  </si>
  <si>
    <t>Remont dróg gminnych</t>
  </si>
  <si>
    <t>Odnowienie barier przy moście na rzece Flincie i Wełnie - 1.500 zł</t>
  </si>
  <si>
    <t xml:space="preserve">Pruśce </t>
  </si>
  <si>
    <t xml:space="preserve">Równanie dróg </t>
  </si>
  <si>
    <t>Remont drogi gminnej</t>
  </si>
  <si>
    <t>Budowa wjazdu - połączenie chodnika</t>
  </si>
  <si>
    <t>Równanie dróg gruntowych</t>
  </si>
  <si>
    <t>Ruda</t>
  </si>
  <si>
    <t>Doposażenie placu zabaw</t>
  </si>
  <si>
    <t xml:space="preserve">Bezpieczeństwo publiczne i ochrona przeciwpożarowa </t>
  </si>
  <si>
    <t>Wsparcie działalności OSP - zakup materiałów do docieplenia strażnicy</t>
  </si>
  <si>
    <t>Zakup wyposażenia dla OSP w Pruścach</t>
  </si>
  <si>
    <t>Słomowo</t>
  </si>
  <si>
    <t>Wsparcie działalności OSP</t>
  </si>
  <si>
    <t>Rozbudowa remizy OSP Parkowo</t>
  </si>
  <si>
    <t>Zakup kosy spalinowej na potrzeby SP w Budziszewku</t>
  </si>
  <si>
    <t>Zakup wyposażenia (art.edukacyjne) dla Przedszkola w Parkowie</t>
  </si>
  <si>
    <t xml:space="preserve">Studzieniec </t>
  </si>
  <si>
    <t>Wynagrodzenie konserwatora zieleni</t>
  </si>
  <si>
    <t>Boguniewo</t>
  </si>
  <si>
    <t>Utrzymanie zieleni i ogródka jordanowskiego</t>
  </si>
  <si>
    <t>Utrzymanie i pielęgnacja wiejskiech terenów zielonych</t>
  </si>
  <si>
    <t>Pielęgnacja i utrzymanie terenów zieleni wiejskiej</t>
  </si>
  <si>
    <t>Utrzymanie terenów zielonych i pielęgnacja boiska</t>
  </si>
  <si>
    <t>Tarnowo</t>
  </si>
  <si>
    <t>Utrzymanie terenów zieleni wiejskiej</t>
  </si>
  <si>
    <t xml:space="preserve">Kaziopole </t>
  </si>
  <si>
    <t>Zakup lamp przy świetlicy wiejskiej</t>
  </si>
  <si>
    <t xml:space="preserve">Owczegłowy </t>
  </si>
  <si>
    <t xml:space="preserve">Nasza świetlica nośnikiem kultury  - gospodzarz obiektu </t>
  </si>
  <si>
    <t xml:space="preserve">Utrzymanie świetlicy - gospodzarz obiektu </t>
  </si>
  <si>
    <t>Wynagrodzenie dla palacza</t>
  </si>
  <si>
    <t xml:space="preserve">Budowa zadaszenia przy świetlicy wiejskiej i zakup wyposażenia </t>
  </si>
  <si>
    <t>Wyposażenie i utrzymanie świetlicy wiejskiej</t>
  </si>
  <si>
    <t xml:space="preserve">Zakup wyposażenia i bieżące utrzymanie  sali wiejskiej </t>
  </si>
  <si>
    <t xml:space="preserve">Utrzymanie porządku, czystości w świetlicy wiejskiej, wokół świetlicy na placu zabaw </t>
  </si>
  <si>
    <t xml:space="preserve">Wyposażenie świetlicy wiejskiej 
</t>
  </si>
  <si>
    <t>Kaziopole</t>
  </si>
  <si>
    <t>Laskowo</t>
  </si>
  <si>
    <t>Wykonanie parkingu przy świetlicy wiejskiej</t>
  </si>
  <si>
    <t>Zakup wyposażenia do świetlicy - wymiana okna</t>
  </si>
  <si>
    <t>Nasza świetlica nośnikiem kultury  - zakup materiałów</t>
  </si>
  <si>
    <t>Utrzymanie i wyposażenie Sali wiejskiej</t>
  </si>
  <si>
    <t xml:space="preserve">Wyposażenie świetlicy wiejskiej </t>
  </si>
  <si>
    <t>Utrzymanie świetlicy wiejskiej i modernizacja świetlicy poprzez odnowienie ścian</t>
  </si>
  <si>
    <t xml:space="preserve">1) Zakup materiałów - 2.500 zł 
2) Zakup opału - 3.000 zł </t>
  </si>
  <si>
    <t xml:space="preserve">Urzadzanie Centrum Integracji - wyposażenie kuchni </t>
  </si>
  <si>
    <t>Zakup energii elektrycznej i wody</t>
  </si>
  <si>
    <t>Utrzymanie świtlicy - 130,84 zł - 130,84= 0,00;
Budowa zadaszenia przed switlicą wiejską 
- 500 zł+3900=4.400,-</t>
  </si>
  <si>
    <t>Bieżące utrzymanie Sali wiejskiej</t>
  </si>
  <si>
    <t>Wykonanie instalacji doprowadzającej energię elektryczną do budynku gospodarczego i wiaty</t>
  </si>
  <si>
    <t>Nasza świetlica nośnikiem kultury  - zakup usług</t>
  </si>
  <si>
    <t>Odnowienie ścian w Sali wiejskiej</t>
  </si>
  <si>
    <t>Utrzymanie świetlicy wiejskiej</t>
  </si>
  <si>
    <t>Zakup usług dostępu do sieci Internet</t>
  </si>
  <si>
    <t xml:space="preserve">Biblioteki </t>
  </si>
  <si>
    <t>Wsparcie działań Biblioteki Publicznej w Parkowie</t>
  </si>
  <si>
    <t>Organizacja wiejskich imprez kulturalnych  - usługa muzyczna</t>
  </si>
  <si>
    <t>Organizacja imprez kulturalno-sportowych</t>
  </si>
  <si>
    <t>Organizacja pikniku rodzinnego - 1.000 zł
Zakup tablicy informacyjnej - 400 zł</t>
  </si>
  <si>
    <t>Organizacja imprez kulturalnych</t>
  </si>
  <si>
    <t xml:space="preserve"> Organizacja imprez kulturalno – sportowych</t>
  </si>
  <si>
    <t>1) Organizacja konkurencji zręcznościowych oraz zawodów sportowych podczas Dnia Jaracza i Rożnowic - 1900 zł
2) Zakup wieńca dożynkowego - 500 zł</t>
  </si>
  <si>
    <t xml:space="preserve">Organizacja imprez kulturalnych </t>
  </si>
  <si>
    <t>Kultywowanie tradycji Święcenia Pól</t>
  </si>
  <si>
    <t>Razem lepiej i weselej - festyny rodzinne, konkursy</t>
  </si>
  <si>
    <t>Organizacja imprez kulturalnych i festynów rodzinnych</t>
  </si>
  <si>
    <t>Organizacja imprez kulturalno – sportowych</t>
  </si>
  <si>
    <t>Organizacja imprez kulturalno  - sportowych</t>
  </si>
  <si>
    <t>Organizacja imprez dla dzieci i mieszkańców</t>
  </si>
  <si>
    <t xml:space="preserve">Organizacja Festynu rodzinnego TARNINA i Świeto Pyry </t>
  </si>
  <si>
    <t>Organizowanie imprez kulturalno – sportowych</t>
  </si>
  <si>
    <t>Oragnizacja konkurencji zręcznościowych oraz zawodów sportowych podczas Dni Jaracza i Rożnowic</t>
  </si>
  <si>
    <t>Organizacja Festynu rodzinnego TARNINA, Świeto Pyry  - 453,85 zł
Wakacje Małych Odkrywców - 3.000 zł</t>
  </si>
  <si>
    <t>Budowa wiaty biesiadnej wraz z budynkiem przyległym - etap I</t>
  </si>
  <si>
    <t>Zakup kontenera magazynowo-socjalnego na boisko w Siernikach</t>
  </si>
  <si>
    <t>Utrzymanie boisk wiejskich</t>
  </si>
  <si>
    <t>Pielęgnacja zieleni na boisku sportowym</t>
  </si>
  <si>
    <t>Utrzymanie boiska sportowego i terenu wokół</t>
  </si>
  <si>
    <t>Prace pielęgnacyjne na stadionie sportowym Gościejewo</t>
  </si>
  <si>
    <t xml:space="preserve"> Utrzymanie boiska sportowego </t>
  </si>
  <si>
    <t>Utrzymanie boiska wiejskiego i dokończenie budowy wiaty</t>
  </si>
  <si>
    <t>Otrzymanie boiska i placu zabaw</t>
  </si>
  <si>
    <t>Ruch to zdrowie - stworzenie boiska do piłki nożnej -8.000 zł;
Aktywne sołectwo - 2.000 zł</t>
  </si>
  <si>
    <t>Dbanie o boiska sportowe i place zabaw oraz zakup nowego wyposażenia</t>
  </si>
  <si>
    <t>1) Utrzymanie boisk wiejskich w Pruścach i Siernikach - 5.500 zł
2) Zakup strojów sportowych - 2.000 zł
3) Zakup kontenera magazynowo-socjalnego na boisko w Siernikach - 6.500 zł (-) 6.500=0,00</t>
  </si>
  <si>
    <t>Prace pielęgnacyjne na boisku sportowym i placu zabaw</t>
  </si>
  <si>
    <t>Zakup sprzętu dla drużyny sołeckiej oraz materiałów do wyposażenia boiska</t>
  </si>
  <si>
    <t>Utrzymanie boiska sportowego i terenu wokół - wertykulacja trawy</t>
  </si>
  <si>
    <t>Utrzymanie boiska sportowego</t>
  </si>
  <si>
    <t>w tym:</t>
  </si>
  <si>
    <t>wydatki bieżace</t>
  </si>
  <si>
    <t>wydatki majątkowe</t>
  </si>
  <si>
    <t>Nazwa sołectwa/ przedsięwzięcia</t>
  </si>
  <si>
    <t>Liczba mieszkańców
na dzień 30.06.2016r.</t>
  </si>
  <si>
    <t>Wysokość Funduszu sołeckiego</t>
  </si>
  <si>
    <t xml:space="preserve">Organizacja imprez kulturalno-sportowych </t>
  </si>
  <si>
    <t xml:space="preserve">Utrzymanie i wyposażenie świetlicy wiejskiej </t>
  </si>
  <si>
    <t>Budowa zadaszenia przed świetlicą wiejską</t>
  </si>
  <si>
    <t>Wsparcie lokalnej Grupy Gospodyń Wiejskich</t>
  </si>
  <si>
    <t>Utrzymanie dróg gminnych</t>
  </si>
  <si>
    <t>Pomoc dla SP w Budziszewku - zakup kosy spalinowej</t>
  </si>
  <si>
    <t>Zakup tablicy informacyjnej</t>
  </si>
  <si>
    <t>Pomoc dla OSP w Budziszewku</t>
  </si>
  <si>
    <t>Wyposażenie i utrzymanie świetlicy wiejskiej i terenu wokół</t>
  </si>
  <si>
    <t>Budowa wiaty biesiadnej</t>
  </si>
  <si>
    <t xml:space="preserve">Prace pielęgnacyjne na stadionie sportowym </t>
  </si>
  <si>
    <t>Wyposażenie i utrzymanie sali wiejskiej</t>
  </si>
  <si>
    <t>Pielęgnacja poboczy dróg gminnych</t>
  </si>
  <si>
    <t>Poprawa estetyki terenu przy Amfiteatrze wraz z zagospodarowaniem miejsca reakreacji i sportu</t>
  </si>
  <si>
    <t>Organizacja imprez o charakterze kulturalnym i sportowym</t>
  </si>
  <si>
    <t>Utrzymanie porządku, czystości w świetlicy wiejskiej, wokół świetlicy, na placu zabaw</t>
  </si>
  <si>
    <t>Zakup wieńca dożynkowego</t>
  </si>
  <si>
    <t>Zakup materiałów do wykonania chodnika przy przystanku autobusowym w Jaraczu</t>
  </si>
  <si>
    <t>Zakup wyposażenia (artykuły edukacyjne) dla Przedszkola w Parkowie</t>
  </si>
  <si>
    <t>Budowa siłowni zewnętrznej</t>
  </si>
  <si>
    <t>Odnowienie barier przy moście na rzece Wełnie i Flincie w Rożnowicach</t>
  </si>
  <si>
    <t xml:space="preserve">Remont dróg gminnych </t>
  </si>
  <si>
    <t xml:space="preserve">Utrzymanie świetlicy </t>
  </si>
  <si>
    <t>7.</t>
  </si>
  <si>
    <t>Zakup wyposażenia kuchni</t>
  </si>
  <si>
    <t>Zakup sprzętu RTV na potrzeby świetlicy</t>
  </si>
  <si>
    <t>8.</t>
  </si>
  <si>
    <t>Kultywowanie tradycji święcenia pól</t>
  </si>
  <si>
    <t>9.</t>
  </si>
  <si>
    <t>Zakup  kosiarki</t>
  </si>
  <si>
    <t>Zakup ławek i ławostołów pod wiaty</t>
  </si>
  <si>
    <t>Imprezy integracyjno - kulturalne wsi</t>
  </si>
  <si>
    <t>Utrzymanie i pielęgnacja terenów zielonych</t>
  </si>
  <si>
    <t>Wyposażenie świetlicy wiejskiej</t>
  </si>
  <si>
    <t>Naprawa dróg gminnych gruntowych</t>
  </si>
  <si>
    <t>10.</t>
  </si>
  <si>
    <t>Nasza świetlica nośnikiem kultury</t>
  </si>
  <si>
    <t>Ruch to zdrowie- stworzenie boiska do piłki nożnej</t>
  </si>
  <si>
    <t>Razem lepiej i weselej</t>
  </si>
  <si>
    <t>11.</t>
  </si>
  <si>
    <t>Budowa wjazdu- połączenie chodnika</t>
  </si>
  <si>
    <t>Utrzymanie i wyposażenie świetlicy wiejskiej</t>
  </si>
  <si>
    <t>Utrzymanie placu zabaw i boiska</t>
  </si>
  <si>
    <t>Położenie rur i zasypanie rowów po prawej części wsi</t>
  </si>
  <si>
    <t>12.</t>
  </si>
  <si>
    <t>Utrzymanie i pielęgnacja wiejskich terenów zielonych</t>
  </si>
  <si>
    <t>Wsparcie działań szkoły</t>
  </si>
  <si>
    <t>Wsparcie działań przedszkola</t>
  </si>
  <si>
    <t>Organizacja imprez sportowych, dbanie o boiska sportowe i place zabaw</t>
  </si>
  <si>
    <t>Organizacja wiejskich imprez kulturalnych</t>
  </si>
  <si>
    <t>Organizacja festynów wiejskich</t>
  </si>
  <si>
    <t>Wsparcie działań Biblioteki Publicznej</t>
  </si>
  <si>
    <t>13.</t>
  </si>
  <si>
    <t>Zakup materiałów związanych z utrzymaniem boisk wiejskich w Siernikach i Pruścach</t>
  </si>
  <si>
    <t>Organizacja imprez kulturalno - sportowych</t>
  </si>
  <si>
    <t>Równanie dróg</t>
  </si>
  <si>
    <t>Zakup strojów sportowych</t>
  </si>
  <si>
    <t>Zakup wyposażenia dla OSP Pruśce</t>
  </si>
  <si>
    <t>Kontener magazynowo socjalny na boisko w Siernikach</t>
  </si>
  <si>
    <t>Wynagrodzenie bezosobowe dla opiekunów boisk sołeckich</t>
  </si>
  <si>
    <t>14.</t>
  </si>
  <si>
    <t>Rekultywacja terenu pod miejsce spotkań społeczności sołeckiej</t>
  </si>
  <si>
    <t>Zakup tablic informacyjnych</t>
  </si>
  <si>
    <t>Doposażenie świetlicy wiejskiej</t>
  </si>
  <si>
    <t>15.</t>
  </si>
  <si>
    <t>Organizacja imprez kulturalno -sportowych</t>
  </si>
  <si>
    <t>Utrzymanie i doposażenie świetlicy wiejskiej, modernizacja świetlicy - odnowienie ścian</t>
  </si>
  <si>
    <t>Wsparcie działalności OSP w Słomowie</t>
  </si>
  <si>
    <t>16.</t>
  </si>
  <si>
    <t>Utrzymanie świetlicy</t>
  </si>
  <si>
    <t>Utrzymanie boiska i terenów zielonych</t>
  </si>
  <si>
    <t>Organizacja imprez kulturalno - wyjazdowych</t>
  </si>
  <si>
    <t>Sport i kultura</t>
  </si>
  <si>
    <t>Utwardzenie drogi</t>
  </si>
  <si>
    <t>17.</t>
  </si>
  <si>
    <t>Utrzmanie zieleni w sołectwie</t>
  </si>
  <si>
    <t>Organizacja festynu rodzinnego "Tarnina", "Świeto pyry",</t>
  </si>
  <si>
    <t>Wakacje małych odkrywców</t>
  </si>
  <si>
    <t>Urządzenie  Centrum Intergacji</t>
  </si>
  <si>
    <t xml:space="preserve">OKREŚLONYCH W PROGRAMIE PROFILAKTYKI I ROZWIĄZYWANIA </t>
  </si>
  <si>
    <t>PROBLEMÓW ALKOHOLOWYCH I NARKOMANII</t>
  </si>
  <si>
    <t>Dochody od osób prawnych, od osób fizycznych i    od innych jednostek nieposiadających osobowości prawnej oraz wydatki związane z ich poborem</t>
  </si>
  <si>
    <t>Wpływy  z opłat za zezwolenia na sprzedaż alkoholu</t>
  </si>
  <si>
    <t>Razem</t>
  </si>
  <si>
    <t>WYDATKI</t>
  </si>
  <si>
    <t>Dotacja celowa na pomoc finansową udzieloną między jednsotkami samorządu terytorialnego na dofiansnowanie własnych zadań bieżących</t>
  </si>
  <si>
    <t>Rózne opłaty i składki</t>
  </si>
  <si>
    <t xml:space="preserve"> między jednostkami samorządu terytorialnego w 2017 roku</t>
  </si>
  <si>
    <t>Dotacje celowe otrzymane z gminyna zadania bieżące realizowane na podstawie porozumień (umów) Miedzy jedsostkami samorządu terytorialnego</t>
  </si>
  <si>
    <t>Dotacja podmiotowa z budżetu dla niepublicznego jednostki systemu oświaty</t>
  </si>
  <si>
    <t xml:space="preserve">Nazwa zakładu budżetowego
</t>
  </si>
  <si>
    <t>Przychody</t>
  </si>
  <si>
    <t>Koszty</t>
  </si>
  <si>
    <t>Zarząd Administracyjny Mienia Komunalnego</t>
  </si>
  <si>
    <t>dotacja przedmiotowa do:</t>
  </si>
  <si>
    <t>RAZEM: Dział 700 Rozdział 70001</t>
  </si>
  <si>
    <t>Centrum Integracji Społecznej</t>
  </si>
  <si>
    <t xml:space="preserve">1) kosztów uczestnikow zajęć i pracowników Centrum 40 osób x 3.750 zł </t>
  </si>
  <si>
    <t>RAZEM: Dział 852 Rozdział 85232</t>
  </si>
  <si>
    <t>% wykonania</t>
  </si>
  <si>
    <t>Plan i wykonanie dochodów i wydatków związanych z realizacją zadań wykonywanych na podstawie porozumień</t>
  </si>
  <si>
    <t xml:space="preserve">                                                        Załacznik Nr 12 do </t>
  </si>
  <si>
    <t xml:space="preserve">Planowane  dochody i wydatki  z tytułu opłat za gospodarowanie 
odpadami komunalnymi  </t>
  </si>
  <si>
    <t>na 2017 rok</t>
  </si>
  <si>
    <t>Wykonanie</t>
  </si>
  <si>
    <t>Należności wymagalne</t>
  </si>
  <si>
    <t>Nadpłaty</t>
  </si>
  <si>
    <t>Wpływy z innych lokalnych opłat pobiernaych przez jednostki samorządu terytorialnego na podstawie odrębnych ustaw</t>
  </si>
  <si>
    <t>Odsetki od nieterminowych wpłat z tytułu podatków i opłat</t>
  </si>
  <si>
    <t xml:space="preserve">Plan </t>
  </si>
  <si>
    <t>Zobowiązania niewymagalne</t>
  </si>
  <si>
    <t>obsługa systemu - odbiór odpadów</t>
  </si>
  <si>
    <t>przesyłki pocztowe</t>
  </si>
  <si>
    <t>Przeglądy i konserwacje sprzętu</t>
  </si>
  <si>
    <t>aktualizacja  dwóch systemów oprogramowania (opieka autorska)</t>
  </si>
  <si>
    <t>Różne opłaty i skladki</t>
  </si>
  <si>
    <t>Magdziarz Beata (2.633,94)</t>
  </si>
  <si>
    <t>Rryga Beata 32168,80:2x8,5%</t>
  </si>
  <si>
    <t>Magdziarz Beata 29963,60x8,5%</t>
  </si>
  <si>
    <t>Grabowska Paulina 29632x8,5%</t>
  </si>
  <si>
    <t>Składki na ubezpieczenie społeczne</t>
  </si>
  <si>
    <t xml:space="preserve">w tym: </t>
  </si>
  <si>
    <t>Plan  2017 roku</t>
  </si>
  <si>
    <t xml:space="preserve">za 2013 rok  (+) </t>
  </si>
  <si>
    <t xml:space="preserve">za 2014 rok  (+) </t>
  </si>
  <si>
    <t>za 2015 rok  (+)</t>
  </si>
  <si>
    <t>za 2016 rok  (-)</t>
  </si>
  <si>
    <t>Roma Król</t>
  </si>
  <si>
    <t>Paweł Ohradka</t>
  </si>
  <si>
    <t>dzierżawa pojemników</t>
  </si>
  <si>
    <t>Grabowska Paulina (2628,80)</t>
  </si>
  <si>
    <t>Rutkowska Zenona 3/4 etatu (3433,20)</t>
  </si>
  <si>
    <t>Natalia Kaniewska 1/2etat (2892,11)</t>
  </si>
  <si>
    <t xml:space="preserve">Rutkowska Zenona 1/2 etatu </t>
  </si>
  <si>
    <t>Ryga Beata</t>
  </si>
  <si>
    <t xml:space="preserve">Magdziarz Beata </t>
  </si>
  <si>
    <t xml:space="preserve">Grabowska </t>
  </si>
  <si>
    <t xml:space="preserve">Rutkowska Zenona </t>
  </si>
  <si>
    <t xml:space="preserve">Ryga Beata  </t>
  </si>
  <si>
    <t>Ryga Beata  =4706,39</t>
  </si>
  <si>
    <t>Kary, odszkodowania i grzywny wypłacone na rzecz osób prawnych i innych jednostek organizacyjnych</t>
  </si>
  <si>
    <t>- kara pieniężna za nierzetelne sprawozdanie dotyczące odpadów komunalnych za 2015 rok</t>
  </si>
  <si>
    <t>za rok 2017 (+)</t>
  </si>
  <si>
    <t>Nadwyżka za okres od 1 lipca 2013 roku do dnia 31-12-2017 roku z rozliczenia systemu gospodarowania odpadami komunalnymi wyniosła narastająco 448.746,65 zł uwzględniając wykonane dochody i wydatki,</t>
  </si>
  <si>
    <t>RAZEM: nadwyżka narastająco</t>
  </si>
  <si>
    <t>Plan dochodów</t>
  </si>
  <si>
    <t>Plan na dzień 31.12.2017r.</t>
  </si>
  <si>
    <t>Zwroty dotacji</t>
  </si>
  <si>
    <t>28-12-2017</t>
  </si>
  <si>
    <t>10.10.2017 (139,99)
28.12.2017 (535,37)</t>
  </si>
  <si>
    <t>28.12.2017</t>
  </si>
  <si>
    <t>18.12.2017</t>
  </si>
  <si>
    <t>Data
 zwrotu</t>
  </si>
  <si>
    <t>20.12.2017</t>
  </si>
  <si>
    <t>Zwrot dotacji</t>
  </si>
  <si>
    <t>Plan na dzień 31.12.2017</t>
  </si>
  <si>
    <t>29.12.2017</t>
  </si>
  <si>
    <t>22.12.2017</t>
  </si>
  <si>
    <t>Planowane środki finansowe na dzień: 31.12.2017 rok</t>
  </si>
  <si>
    <t>%
 wykonania
(6/5)</t>
  </si>
  <si>
    <t>58</t>
  </si>
  <si>
    <t xml:space="preserve">
wydatki, które nie wygasają z upływem roku budżetowego 2017</t>
  </si>
  <si>
    <t>Wykonanie wydatków
na dzień; 31.12.2017r.</t>
  </si>
  <si>
    <r>
      <t xml:space="preserve">Budowa wiaty biesiadnej wraz z budynkiem przyległym - etap I
</t>
    </r>
    <r>
      <rPr>
        <i/>
        <sz val="10"/>
        <color theme="1"/>
        <rFont val="Arial"/>
        <family val="2"/>
        <charset val="238"/>
      </rPr>
      <t>w tym:  przedsięwzięcie z Funduszu sołeckiego Garbatki 7.000 zł (wykonanie 6.984,85)</t>
    </r>
  </si>
  <si>
    <r>
      <t xml:space="preserve">Zakup kontenera magazynowo-socjalnego na boisko w Siernikach
</t>
    </r>
    <r>
      <rPr>
        <i/>
        <sz val="10"/>
        <color theme="1"/>
        <rFont val="Arial"/>
        <family val="2"/>
        <charset val="238"/>
      </rPr>
      <t>w tym:  przedsięwzięcie z Funduszu sołeckiego Prusiec 6.500 zł (wykonanie 6.477,27)</t>
    </r>
  </si>
  <si>
    <t>wydatki majątkowe w formie dotacji celowych</t>
  </si>
  <si>
    <t>wydatki inwestycyjne kontynuowane (przedsiewzięcia)</t>
  </si>
  <si>
    <t>objęcie udziałów w gminnej spółce prawa handlowego</t>
  </si>
  <si>
    <t>PLAN i WYKONANIE DOCHODÓW Z TYTUŁU WYDAWANIA ZEZWOLEŃ NA SPRZEDAŻ</t>
  </si>
  <si>
    <t xml:space="preserve">NAPOJÓW ALKOHOLOWYCH, PLAN I WYKONANIE WYDATKÓW NA REALIZACJĘ ZADAŃ </t>
  </si>
  <si>
    <t>Wykonanie na dzień: 31.12.2017r.</t>
  </si>
  <si>
    <t>Plan na 2017 rok</t>
  </si>
  <si>
    <t>Rozchody</t>
  </si>
  <si>
    <t>Załącznik nr 3 do sprawozdania opisowego</t>
  </si>
  <si>
    <t>PLAN I WYKONANIE</t>
  </si>
  <si>
    <t>Załącznik nr 4 do sprawozdania opisowego</t>
  </si>
  <si>
    <t>WYKAZ PLANOWANYCH I WYKONANYCH WYDATKÓW MAJĄTKOWYCH GMINY UJĘTYCH W PLANIE BUDŻETU 
 2017 ROKU</t>
  </si>
  <si>
    <t>Plan i wykonanie dochodów, dotacji i wydatków związanych z realizacją zadań  z zakresu administracji rządowej i innych zadań zleconych gminie ustawami w 2017 roku</t>
  </si>
  <si>
    <t>Załącznik nr 5 do sprawozdania opisowego</t>
  </si>
  <si>
    <t>Załącznik nr 6 do sprawozdania opisowego</t>
  </si>
  <si>
    <t>Plan 
na dzień: 31.12.2017r.</t>
  </si>
  <si>
    <t>Wykonanie na dzień:
31.12.2017r.</t>
  </si>
  <si>
    <t>Plan na dzień:
31.12.2017r.</t>
  </si>
  <si>
    <t>Wykonanie 
na dzień:
31.12.2017</t>
  </si>
  <si>
    <t>Załącznik nr 7 do sprawozdania opisowego</t>
  </si>
  <si>
    <t xml:space="preserve">Plan i wykonanie dochodów i wydatków związanych z realizacją zadań własnych w 2017 roku </t>
  </si>
  <si>
    <t>Załącznik nr 8 do sprawozdania opisowego</t>
  </si>
  <si>
    <t>ZESTAWIENIE PLANOWANYCH I WYKONANYCH KWOT DOTACJI W 2017 ROKU</t>
  </si>
  <si>
    <t>Wykonanie
na dzień:
31.12.2017r.</t>
  </si>
  <si>
    <t xml:space="preserve">Plan 
na dzień: 31.12.2017r.
</t>
  </si>
  <si>
    <t>Plan i wykonanie dochodów i wydatków z opłat i kar za korzystanie
 ze środowiska w  2017 roku</t>
  </si>
  <si>
    <t>Załącznik nr 10 do sprawozdania opisowego</t>
  </si>
  <si>
    <t>Załącznik nr 1 do sprawozdania opisowego</t>
  </si>
  <si>
    <t>W 2017 ROKU</t>
  </si>
  <si>
    <t>Plan
na dzień:
31.12.2017r.</t>
  </si>
  <si>
    <t>Załącznik nr 11 do sprawozdania opisowego</t>
  </si>
  <si>
    <t>Załącznik nr 12 do sprawozdania opisowego</t>
  </si>
  <si>
    <t>Planowane i wykonane przedsięwzięcia w ramach funduszu sołeckiego w 2017 roku</t>
  </si>
  <si>
    <t>Wykonanie 
na dzień:
31.12.2017r.</t>
  </si>
  <si>
    <t>%
 wykonania</t>
  </si>
  <si>
    <t>Wykonanie
na dzień: 31.12.2017r.</t>
  </si>
  <si>
    <t>Plan na dzień:
01.01.2017r.</t>
  </si>
  <si>
    <t>Plan obowiazujący na dzień:
31.12.2017r.</t>
  </si>
  <si>
    <t>Ogółem:</t>
  </si>
  <si>
    <t>w tym:
wymagalne</t>
  </si>
  <si>
    <t>REALIZACJA PLANU DOCHODÓW BUDŻETU GMINY ROGOŹNO
za okres od początku roku do dnia 31 grudnia 2017 roku</t>
  </si>
  <si>
    <t>0870</t>
  </si>
  <si>
    <t>Wpływy ze sprzedaży składników majątkowych</t>
  </si>
  <si>
    <t>Promocja jednostek samorzadu terytorialnego</t>
  </si>
  <si>
    <t>0840</t>
  </si>
  <si>
    <t>Wpływy ze sprzedaży wyrobów</t>
  </si>
  <si>
    <t/>
  </si>
  <si>
    <t>0580</t>
  </si>
  <si>
    <t>Wpływy z tytułu grzywien i innych kar pienięznych od osób prawnych i innych jednostek organizacyjnych</t>
  </si>
  <si>
    <t>0610</t>
  </si>
  <si>
    <t>0940</t>
  </si>
  <si>
    <t>6680</t>
  </si>
  <si>
    <t>Wpływy z opłat egzaminacyjnych oraz opłat za wydanie świadectw, dyplomów, zaświadczeń, certyfikatów i ich duplikatów</t>
  </si>
  <si>
    <t>Wpływy z rozliczeń/zwrotów z lat ubiegłych</t>
  </si>
  <si>
    <t>Wpłata środków finansowych z niewykorzystanych w terminie wydatków, które nie wygasają z upływem roku budżetowego</t>
  </si>
  <si>
    <t xml:space="preserve">1) Zakup wyposażenia kuchni - 1.000 zł, (wyk. 995,64zł)
2) Zakup sprzętu RTV na potrzeby świetlicy - 2.000 zł, (wyk. 1.997,48zł)
</t>
  </si>
  <si>
    <t>1) Zakup kosiarki - 1.600zł, (wyk. 389,20zł)
2) Zakup materiałów do pielęgnacji terenów zielonych - 400 zł, (wyk. 389,20zł)</t>
  </si>
  <si>
    <t>1) Konkursy zręcznościowe - 1.545 zł, (wyk. 1498,18zl)
 2) Zakup ławek i ławostołów pod wiatę - 2.000 zł, (wyk. 1.996,73zł)</t>
  </si>
  <si>
    <t>1) Budowa wjazdu - połączenie chodnika -800 zł, (wyk. 800 zł)
2) Położenie rur i zasypanie rowów po prawej części wsi - 6.089,95 zł, (wyk.5.679,01zł)</t>
  </si>
  <si>
    <t>1) Wsparcie działań szkoły w Parkowie - 2.000 zł, (wyk. 2.000zł)
2) Wsparcie działań przedszkola w Parkowie - 800 zł, (wyk. 797,96zł)</t>
  </si>
  <si>
    <t>Organizacja imprez kulturalno - sportowych - 2053,13 zł, (wyk. 2.051,68zł)
Zakup tablic informacyjnych - 600 zł, (wyk. 599,99zł)</t>
  </si>
  <si>
    <t>Organizacja imprez kulturalno - sportowych - 3.000 zł, (wyk. 3.000zł)
Rekultywacja terenu - 2.000 zł, (wyk. 1.968zł)</t>
  </si>
  <si>
    <t>Plan obowiązujący na dzień: 31.12.2017r.</t>
  </si>
  <si>
    <t>Plan na dzień: 01.01.2017r.</t>
  </si>
  <si>
    <t>Zobowiazania niewymagalne</t>
  </si>
  <si>
    <t>Załącznik nr 2 do sprawozdania opisowego</t>
  </si>
  <si>
    <t>REALIZACJA PLANU WYDATKÓW BUDŻETU GMINY ROGOŹNO
za okres od początku roku do dnia 31 grudnia 2017 roku</t>
  </si>
  <si>
    <t xml:space="preserve">Wykonanie </t>
  </si>
  <si>
    <t>Wydatki bieżące</t>
  </si>
  <si>
    <t>1)</t>
  </si>
  <si>
    <t>wydatki jednostek budżetowych</t>
  </si>
  <si>
    <t>z tego:</t>
  </si>
  <si>
    <t>a) wynagrodzenia i składki od nich naliczone</t>
  </si>
  <si>
    <t>b) wydatki związane z realizacją statutowych zadań</t>
  </si>
  <si>
    <t>2)</t>
  </si>
  <si>
    <t>dotacje na zadania bieżace</t>
  </si>
  <si>
    <t>3)</t>
  </si>
  <si>
    <t>świadczenia na rzecz osób fizycznych</t>
  </si>
  <si>
    <t>4)</t>
  </si>
  <si>
    <t>obsługa długu - odsetki od kredytów i pożyczek</t>
  </si>
  <si>
    <t>5)</t>
  </si>
  <si>
    <t>Wydatki majątkowe</t>
  </si>
  <si>
    <t>dotacje przekazane z budżetu na zadania majątkowe</t>
  </si>
  <si>
    <t>pozostałe wydatki majątkowe</t>
  </si>
  <si>
    <t>wydatki na programy finansowane z udziałem środków, o których mowa w art. 5 ust.1 pkt 2 i 3 ustawy</t>
  </si>
  <si>
    <t>udziały w podatku dochodowym od osób fizycznych</t>
  </si>
  <si>
    <t>Dochody bieżące</t>
  </si>
  <si>
    <t>udziały w podatku dochodowym od osób prawnych</t>
  </si>
  <si>
    <t>podatki i opłaty</t>
  </si>
  <si>
    <t>subwencja ogólna</t>
  </si>
  <si>
    <t>dotacje i środki na cele bieżące</t>
  </si>
  <si>
    <t xml:space="preserve">6) </t>
  </si>
  <si>
    <t>pozostałe  dochody</t>
  </si>
  <si>
    <t>Dochody majatkowe</t>
  </si>
  <si>
    <t>ze sprzedaży majątku</t>
  </si>
  <si>
    <t>wpływy z przekształcenia prawa użytkowania wieczystego przysługujęcego osobom fizycznym w prawo własności</t>
  </si>
  <si>
    <t>dotacje i środkina inwestycje</t>
  </si>
  <si>
    <t>a) dotacje na programy finansowe z udziałem środków, o których mowa w art.. 5 ust.1 pkt 2 i 3 w części związanej z realizacją zadań bieżących gminy</t>
  </si>
  <si>
    <t>a) dotacje na programy finansowe z udziałem środków, o których mowa w art.. 5 ust.1 pkt 2 i 3 w części związanej z realizacją zadań majątkowych gminy</t>
  </si>
  <si>
    <t>28-12-2017 2.708,40;
25.01.2018 0,02 zł</t>
  </si>
  <si>
    <t>wydatki majątkowe jednoroczne</t>
  </si>
  <si>
    <t>REALIZACJA PLANU WYDATKÓW BUDŻETU GMINY ROGOŹNO Z TYTUŁU WYNAGRODZEŃ 
I POCHODNYCH OD NICH NALICZONYCH 
za okres od początku roku do dnia 31 grudnia 2017 roku</t>
  </si>
  <si>
    <t>b) wynagrodzenia i składki od nich naliczone na programy finansowane z udziałem środków, o których mowa w art. 5 ust.1 pkt 2 i 3 ustawy</t>
  </si>
  <si>
    <t>a) wynagrodzenia i składki od nich naliczone z budżetu gminy</t>
  </si>
  <si>
    <t>Ośrodek Pomocy Społecznej</t>
  </si>
  <si>
    <t>pozostałe działy, rodziały</t>
  </si>
  <si>
    <t>Jednostki systemu oświaty wraz z Centrum Usług Wspólnych</t>
  </si>
  <si>
    <t xml:space="preserve">Administracja wraz z obsługą gospodarki odpadami </t>
  </si>
  <si>
    <t>Stan należności:</t>
  </si>
  <si>
    <t>Wykonanie dokumentacji technicznej budowy dróg, chodników i parkingów na terenie miasta i gminy</t>
  </si>
  <si>
    <t>Koszty bieżące</t>
  </si>
  <si>
    <t>wynagrodzenia i pochodne od wynagrodzeń</t>
  </si>
  <si>
    <t>Koszty majątkowe</t>
  </si>
  <si>
    <t>PLAN I WYKONANIE PRZYCHODÓW I KOSZTÓW ZAKŁADU BUDŻETOWEGO GMINY ROGOŹNO W 2017 ROKU</t>
  </si>
  <si>
    <t>Załacznik nr 9 do sprawozdania opisowego</t>
  </si>
  <si>
    <r>
      <t>1)</t>
    </r>
    <r>
      <rPr>
        <i/>
        <sz val="8"/>
        <color theme="1"/>
        <rFont val="Times New Roman"/>
        <family val="1"/>
        <charset val="238"/>
      </rPr>
      <t xml:space="preserve"> </t>
    </r>
    <r>
      <rPr>
        <i/>
        <sz val="8"/>
        <color theme="1"/>
        <rFont val="Calibri"/>
        <family val="2"/>
        <charset val="238"/>
        <scheme val="minor"/>
      </rPr>
      <t>Kosztów eksploatacji lokali socjalnych o pow. 400,62 m</t>
    </r>
    <r>
      <rPr>
        <i/>
        <vertAlign val="superscript"/>
        <sz val="8"/>
        <color theme="1"/>
        <rFont val="Calibri"/>
        <family val="2"/>
        <charset val="238"/>
        <scheme val="minor"/>
      </rPr>
      <t>2</t>
    </r>
    <r>
      <rPr>
        <i/>
        <sz val="8"/>
        <color theme="1"/>
        <rFont val="Calibri"/>
        <family val="2"/>
        <charset val="238"/>
        <scheme val="minor"/>
      </rPr>
      <t xml:space="preserve"> x 28,92 zł/m</t>
    </r>
    <r>
      <rPr>
        <i/>
        <vertAlign val="superscript"/>
        <sz val="8"/>
        <color theme="1"/>
        <rFont val="Calibri"/>
        <family val="2"/>
        <charset val="238"/>
        <scheme val="minor"/>
      </rPr>
      <t>2</t>
    </r>
    <r>
      <rPr>
        <i/>
        <sz val="8"/>
        <color theme="1"/>
        <rFont val="Calibri"/>
        <family val="2"/>
        <charset val="238"/>
        <scheme val="minor"/>
      </rPr>
      <t>,</t>
    </r>
  </si>
  <si>
    <r>
      <t>2) Kosztów eksploatacji lokali z wyrokami eksmisyjnymi o pow. 2.031,73m</t>
    </r>
    <r>
      <rPr>
        <i/>
        <vertAlign val="superscript"/>
        <sz val="8"/>
        <color theme="1"/>
        <rFont val="Calibri"/>
        <family val="2"/>
        <charset val="238"/>
        <scheme val="minor"/>
      </rPr>
      <t xml:space="preserve">2 </t>
    </r>
    <r>
      <rPr>
        <i/>
        <sz val="8"/>
        <color theme="1"/>
        <rFont val="Calibri"/>
        <family val="2"/>
        <charset val="238"/>
        <scheme val="minor"/>
      </rPr>
      <t>x</t>
    </r>
    <r>
      <rPr>
        <i/>
        <vertAlign val="superscript"/>
        <sz val="8"/>
        <color theme="1"/>
        <rFont val="Calibri"/>
        <family val="2"/>
        <charset val="238"/>
        <scheme val="minor"/>
      </rPr>
      <t xml:space="preserve"> </t>
    </r>
    <r>
      <rPr>
        <i/>
        <sz val="8"/>
        <color theme="1"/>
        <rFont val="Calibri"/>
        <family val="2"/>
        <charset val="238"/>
        <scheme val="minor"/>
      </rPr>
      <t>39,81zł/m</t>
    </r>
    <r>
      <rPr>
        <i/>
        <vertAlign val="superscript"/>
        <sz val="8"/>
        <color theme="1"/>
        <rFont val="Calibri"/>
        <family val="2"/>
        <charset val="238"/>
        <scheme val="minor"/>
      </rPr>
      <t>2</t>
    </r>
  </si>
  <si>
    <r>
      <t>3) Kosztów eksploatacji mieszkań komunalnych w budynkach Wspólnot Mieszkaniowych o pow. 11.732,98 m</t>
    </r>
    <r>
      <rPr>
        <i/>
        <vertAlign val="superscript"/>
        <sz val="8"/>
        <color theme="1"/>
        <rFont val="Calibri"/>
        <family val="2"/>
        <charset val="238"/>
        <scheme val="minor"/>
      </rPr>
      <t>2</t>
    </r>
    <r>
      <rPr>
        <i/>
        <sz val="8"/>
        <color theme="1"/>
        <rFont val="Calibri"/>
        <family val="2"/>
        <charset val="238"/>
        <scheme val="minor"/>
      </rPr>
      <t xml:space="preserve"> x 26,88 zł/m</t>
    </r>
    <r>
      <rPr>
        <i/>
        <vertAlign val="superscript"/>
        <sz val="8"/>
        <color theme="1"/>
        <rFont val="Calibri"/>
        <family val="2"/>
        <charset val="238"/>
        <scheme val="minor"/>
      </rPr>
      <t>2</t>
    </r>
  </si>
  <si>
    <t>Załącznik nr 13 do sprawozdania opisowego</t>
  </si>
  <si>
    <t>Załącznik nr 14  do sprawozdania opisowego</t>
  </si>
  <si>
    <t>WYDATKI WYKONANE NA PRZEDSIĘWIĘCIA W RAMACH FUNDUSZU SOŁECKIEGO NA 2017 ROK</t>
  </si>
  <si>
    <t>Tabela Nr 1 do załącznika nr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</si>
</sst>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???"/>
    <numFmt numFmtId="165" formatCode="?????"/>
    <numFmt numFmtId="166" formatCode="????"/>
    <numFmt numFmtId="167" formatCode="#,##0.00_ ;\-#,##0.00\ "/>
    <numFmt numFmtId="168" formatCode="#,##0.00\ [$zł-415];[Red]\-#,##0.00\ [$zł-415]"/>
    <numFmt numFmtId="169" formatCode="#,##0.00\ &quot;zł&quot;"/>
    <numFmt numFmtId="170" formatCode="_-* #,##0.00\ _z_ł_-;\-* #,##0.00\ _z_ł_-;_-* \-??\ _z_ł_-;_-@_-"/>
    <numFmt numFmtId="171" formatCode="0000"/>
    <numFmt numFmtId="172" formatCode="?"/>
  </numFmts>
  <fonts count="14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8.25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8.25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</font>
    <font>
      <sz val="8"/>
      <color indexed="8"/>
      <name val="Arial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0"/>
      <color indexed="8"/>
      <name val="Arial"/>
      <family val="2"/>
      <charset val="238"/>
    </font>
    <font>
      <b/>
      <sz val="8.25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8.25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8.5"/>
      <name val="Arial CE"/>
      <charset val="238"/>
    </font>
    <font>
      <i/>
      <sz val="10"/>
      <name val="Arial CE"/>
      <charset val="238"/>
    </font>
    <font>
      <i/>
      <sz val="8"/>
      <name val="Arial CE"/>
      <charset val="238"/>
    </font>
    <font>
      <i/>
      <sz val="9"/>
      <name val="Arial CE"/>
      <charset val="238"/>
    </font>
    <font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sz val="9"/>
      <name val="Arial"/>
      <family val="2"/>
      <charset val="1"/>
    </font>
    <font>
      <b/>
      <sz val="12"/>
      <name val="Arial"/>
      <family val="2"/>
      <charset val="1"/>
    </font>
    <font>
      <b/>
      <sz val="8.5"/>
      <color indexed="8"/>
      <name val="Arial"/>
      <family val="2"/>
      <charset val="1"/>
    </font>
    <font>
      <sz val="12"/>
      <name val="Calibri"/>
      <family val="2"/>
      <charset val="238"/>
    </font>
    <font>
      <b/>
      <sz val="10"/>
      <color indexed="8"/>
      <name val="Arial"/>
      <family val="2"/>
      <charset val="1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1"/>
    </font>
    <font>
      <sz val="10"/>
      <color indexed="8"/>
      <name val="Arial"/>
      <family val="2"/>
      <charset val="1"/>
    </font>
    <font>
      <b/>
      <sz val="9"/>
      <color indexed="8"/>
      <name val="Arial"/>
      <family val="2"/>
      <charset val="1"/>
    </font>
    <font>
      <sz val="9"/>
      <color indexed="8"/>
      <name val="Arial"/>
      <family val="2"/>
      <charset val="1"/>
    </font>
    <font>
      <sz val="9"/>
      <name val="Arial"/>
      <family val="2"/>
      <charset val="238"/>
    </font>
    <font>
      <b/>
      <sz val="9"/>
      <name val="Arial"/>
      <family val="2"/>
      <charset val="1"/>
    </font>
    <font>
      <sz val="9"/>
      <color indexed="8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1"/>
    </font>
    <font>
      <sz val="8"/>
      <name val="Arial"/>
      <family val="2"/>
      <charset val="238"/>
    </font>
    <font>
      <b/>
      <sz val="12"/>
      <name val="Arial CE"/>
      <charset val="238"/>
    </font>
    <font>
      <b/>
      <sz val="8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b/>
      <sz val="11"/>
      <name val="Arial CE"/>
      <charset val="238"/>
    </font>
    <font>
      <b/>
      <sz val="12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sz val="10"/>
      <name val="Times New Roman"/>
      <family val="1"/>
    </font>
    <font>
      <sz val="9"/>
      <name val="Times New Roman"/>
      <family val="1"/>
    </font>
    <font>
      <b/>
      <sz val="10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sz val="9"/>
      <name val="Times New Roman"/>
      <family val="1"/>
      <charset val="238"/>
    </font>
    <font>
      <sz val="8.25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8.5"/>
      <name val="Times New Roman"/>
      <family val="1"/>
      <charset val="238"/>
    </font>
    <font>
      <sz val="8.5"/>
      <name val="Times New Roman"/>
      <family val="1"/>
    </font>
    <font>
      <sz val="8.5"/>
      <name val="Times New Roman"/>
      <family val="1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12"/>
      <name val="Arial CE"/>
      <family val="2"/>
      <charset val="238"/>
    </font>
    <font>
      <b/>
      <sz val="10"/>
      <color indexed="12"/>
      <name val="Times New Roman"/>
      <family val="1"/>
    </font>
    <font>
      <b/>
      <sz val="11"/>
      <name val="Arial"/>
      <family val="2"/>
      <charset val="238"/>
    </font>
    <font>
      <b/>
      <sz val="8.25"/>
      <color theme="1"/>
      <name val="Arial"/>
      <family val="2"/>
      <charset val="238"/>
    </font>
    <font>
      <sz val="8.25"/>
      <color theme="1"/>
      <name val="Arial"/>
      <family val="2"/>
      <charset val="238"/>
    </font>
    <font>
      <b/>
      <sz val="8.25"/>
      <color rgb="FFFF0000"/>
      <name val="Arial"/>
      <family val="2"/>
      <charset val="238"/>
    </font>
    <font>
      <sz val="8.25"/>
      <color rgb="FFFF0000"/>
      <name val="Arial"/>
      <family val="2"/>
      <charset val="238"/>
    </font>
    <font>
      <sz val="8.25"/>
      <name val="Arial"/>
      <family val="2"/>
      <charset val="238"/>
    </font>
    <font>
      <sz val="8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8.25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8.5"/>
      <name val="Arial"/>
      <family val="2"/>
      <charset val="238"/>
    </font>
    <font>
      <b/>
      <sz val="8.5"/>
      <name val="Arial"/>
      <family val="2"/>
      <charset val="238"/>
    </font>
    <font>
      <b/>
      <sz val="8.5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.5"/>
      <color theme="1"/>
      <name val="Arial"/>
      <family val="2"/>
      <charset val="238"/>
    </font>
    <font>
      <sz val="12"/>
      <color rgb="FFFF0000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10"/>
      <name val="Arial"/>
      <family val="2"/>
      <charset val="238"/>
    </font>
    <font>
      <i/>
      <sz val="9"/>
      <name val="Arial"/>
      <family val="2"/>
      <charset val="238"/>
    </font>
    <font>
      <i/>
      <sz val="8"/>
      <name val="Arial"/>
      <family val="2"/>
      <charset val="238"/>
    </font>
    <font>
      <i/>
      <sz val="8.25"/>
      <color theme="1"/>
      <name val="Arial"/>
      <family val="2"/>
      <charset val="238"/>
    </font>
    <font>
      <b/>
      <i/>
      <sz val="11"/>
      <name val="Arial"/>
      <family val="2"/>
      <charset val="238"/>
    </font>
    <font>
      <b/>
      <sz val="8"/>
      <name val="Arial"/>
      <family val="2"/>
      <charset val="1"/>
    </font>
    <font>
      <b/>
      <sz val="8"/>
      <color indexed="8"/>
      <name val="Arial"/>
      <family val="2"/>
      <charset val="1"/>
    </font>
    <font>
      <i/>
      <sz val="9"/>
      <color indexed="8"/>
      <name val="Arial"/>
      <family val="2"/>
      <charset val="1"/>
    </font>
    <font>
      <b/>
      <sz val="11"/>
      <name val="Arial"/>
      <family val="2"/>
      <charset val="1"/>
    </font>
    <font>
      <b/>
      <sz val="9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b/>
      <i/>
      <sz val="9"/>
      <name val="Arial"/>
      <family val="2"/>
      <charset val="238"/>
    </font>
    <font>
      <i/>
      <sz val="8"/>
      <name val="Calibri"/>
      <family val="2"/>
      <charset val="238"/>
      <scheme val="minor"/>
    </font>
    <font>
      <b/>
      <u/>
      <sz val="12"/>
      <name val="Arial CE"/>
      <charset val="238"/>
    </font>
    <font>
      <b/>
      <sz val="7"/>
      <name val="Arial CE"/>
      <charset val="238"/>
    </font>
    <font>
      <b/>
      <sz val="6"/>
      <name val="Arial CE"/>
      <charset val="238"/>
    </font>
    <font>
      <sz val="8"/>
      <name val="Arial CE"/>
      <charset val="238"/>
    </font>
    <font>
      <sz val="7"/>
      <name val="Arial CE"/>
      <charset val="238"/>
    </font>
    <font>
      <i/>
      <sz val="8"/>
      <color indexed="8"/>
      <name val="Arial"/>
      <family val="2"/>
      <charset val="238"/>
    </font>
    <font>
      <b/>
      <i/>
      <sz val="10"/>
      <name val="Arial CE"/>
      <charset val="238"/>
    </font>
    <font>
      <b/>
      <sz val="7.5"/>
      <name val="Times New Roman"/>
      <family val="1"/>
    </font>
    <font>
      <b/>
      <sz val="9"/>
      <name val="Arial CE"/>
      <family val="2"/>
      <charset val="238"/>
    </font>
    <font>
      <sz val="7.5"/>
      <name val="Arial CE"/>
      <charset val="238"/>
    </font>
    <font>
      <b/>
      <sz val="7"/>
      <color indexed="8"/>
      <name val="Arial"/>
      <family val="2"/>
      <charset val="238"/>
    </font>
    <font>
      <b/>
      <sz val="8"/>
      <name val="Times New Roman"/>
      <family val="1"/>
    </font>
    <font>
      <b/>
      <sz val="7"/>
      <name val="Arial"/>
      <family val="2"/>
      <charset val="238"/>
    </font>
    <font>
      <b/>
      <sz val="7.5"/>
      <color indexed="8"/>
      <name val="Arial"/>
      <family val="2"/>
      <charset val="238"/>
    </font>
    <font>
      <b/>
      <sz val="8.5"/>
      <color indexed="8"/>
      <name val="Arial"/>
      <family val="2"/>
      <charset val="238"/>
    </font>
    <font>
      <sz val="8.5"/>
      <color indexed="8"/>
      <name val="Arial"/>
      <family val="2"/>
      <charset val="238"/>
    </font>
    <font>
      <b/>
      <sz val="6"/>
      <color indexed="8"/>
      <name val="Arial"/>
      <family val="2"/>
      <charset val="238"/>
    </font>
    <font>
      <i/>
      <sz val="10"/>
      <color indexed="8"/>
      <name val="Arial"/>
      <family val="2"/>
      <charset val="238"/>
    </font>
    <font>
      <b/>
      <i/>
      <sz val="10"/>
      <color indexed="8"/>
      <name val="Arial"/>
      <family val="2"/>
      <charset val="238"/>
    </font>
    <font>
      <b/>
      <i/>
      <sz val="8"/>
      <color indexed="8"/>
      <name val="Arial"/>
      <family val="2"/>
      <charset val="238"/>
    </font>
    <font>
      <i/>
      <sz val="9"/>
      <color indexed="8"/>
      <name val="Arial"/>
      <family val="2"/>
      <charset val="238"/>
    </font>
    <font>
      <i/>
      <sz val="8.5"/>
      <color indexed="8"/>
      <name val="Arial"/>
      <family val="2"/>
      <charset val="238"/>
    </font>
    <font>
      <i/>
      <sz val="7.5"/>
      <color indexed="8"/>
      <name val="Arial"/>
      <family val="2"/>
      <charset val="238"/>
    </font>
    <font>
      <b/>
      <i/>
      <sz val="9"/>
      <color indexed="8"/>
      <name val="Arial"/>
      <family val="2"/>
      <charset val="238"/>
    </font>
    <font>
      <b/>
      <sz val="10"/>
      <color rgb="FF0070C0"/>
      <name val="Arial"/>
      <family val="2"/>
      <charset val="238"/>
    </font>
    <font>
      <b/>
      <sz val="9"/>
      <color rgb="FF0070C0"/>
      <name val="Arial"/>
      <family val="2"/>
      <charset val="238"/>
    </font>
    <font>
      <b/>
      <sz val="8"/>
      <color rgb="FF0070C0"/>
      <name val="Arial"/>
      <family val="2"/>
      <charset val="238"/>
    </font>
    <font>
      <b/>
      <i/>
      <sz val="9"/>
      <color rgb="FF0070C0"/>
      <name val="Arial"/>
      <family val="2"/>
      <charset val="238"/>
    </font>
    <font>
      <sz val="8.5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i/>
      <sz val="9"/>
      <color rgb="FFFF0000"/>
      <name val="Arial"/>
      <family val="2"/>
      <charset val="238"/>
    </font>
    <font>
      <b/>
      <i/>
      <sz val="7.5"/>
      <color indexed="8"/>
      <name val="Arial"/>
      <family val="2"/>
      <charset val="238"/>
    </font>
    <font>
      <b/>
      <i/>
      <sz val="8.5"/>
      <color indexed="8"/>
      <name val="Arial"/>
      <family val="2"/>
      <charset val="238"/>
    </font>
    <font>
      <i/>
      <sz val="8"/>
      <color theme="1"/>
      <name val="Calibri"/>
      <family val="2"/>
      <charset val="238"/>
      <scheme val="minor"/>
    </font>
    <font>
      <i/>
      <sz val="8"/>
      <color theme="1"/>
      <name val="Times New Roman"/>
      <family val="1"/>
      <charset val="238"/>
    </font>
    <font>
      <i/>
      <vertAlign val="superscript"/>
      <sz val="8"/>
      <color theme="1"/>
      <name val="Calibri"/>
      <family val="2"/>
      <charset val="238"/>
      <scheme val="minor"/>
    </font>
    <font>
      <i/>
      <sz val="8.5"/>
      <name val="Arial"/>
      <family val="2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indexed="13"/>
        <bgColor indexed="34"/>
      </patternFill>
    </fill>
    <fill>
      <patternFill patternType="solid">
        <fgColor theme="0"/>
        <bgColor indexed="46"/>
      </patternFill>
    </fill>
    <fill>
      <patternFill patternType="solid">
        <fgColor theme="0" tint="-0.34998626667073579"/>
        <bgColor indexed="23"/>
      </patternFill>
    </fill>
    <fill>
      <patternFill patternType="solid">
        <fgColor theme="0" tint="-0.14999847407452621"/>
        <bgColor indexed="22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3"/>
      </patternFill>
    </fill>
    <fill>
      <patternFill patternType="solid">
        <fgColor theme="0" tint="-0.14999847407452621"/>
        <bgColor indexed="23"/>
      </patternFill>
    </fill>
    <fill>
      <patternFill patternType="solid">
        <fgColor theme="0" tint="-0.14999847407452621"/>
        <bgColor indexed="0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4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 tint="-0.34998626667073579"/>
        <bgColor indexed="26"/>
      </patternFill>
    </fill>
    <fill>
      <patternFill patternType="solid">
        <fgColor theme="0" tint="-0.249977111117893"/>
        <bgColor indexed="26"/>
      </patternFill>
    </fill>
    <fill>
      <patternFill patternType="solid">
        <fgColor indexed="22"/>
        <bgColor indexed="46"/>
      </patternFill>
    </fill>
    <fill>
      <patternFill patternType="solid">
        <fgColor indexed="31"/>
        <bgColor indexed="46"/>
      </patternFill>
    </fill>
    <fill>
      <patternFill patternType="solid">
        <fgColor rgb="FFCCCCFF"/>
        <bgColor indexed="46"/>
      </patternFill>
    </fill>
    <fill>
      <patternFill patternType="solid">
        <fgColor theme="0"/>
        <bgColor indexed="0"/>
      </patternFill>
    </fill>
    <fill>
      <patternFill patternType="solid">
        <fgColor theme="5" tint="0.39997558519241921"/>
        <bgColor indexed="0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0"/>
      </patternFill>
    </fill>
    <fill>
      <patternFill patternType="solid">
        <fgColor theme="5" tint="0.79998168889431442"/>
        <bgColor indexed="64"/>
      </patternFill>
    </fill>
  </fills>
  <borders count="18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8"/>
      </bottom>
      <diagonal/>
    </border>
    <border>
      <left style="medium">
        <color auto="1"/>
      </left>
      <right style="thin">
        <color indexed="64"/>
      </right>
      <top style="thin">
        <color auto="1"/>
      </top>
      <bottom style="thin">
        <color indexed="8"/>
      </bottom>
      <diagonal/>
    </border>
    <border>
      <left style="medium">
        <color auto="1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auto="1"/>
      </left>
      <right style="thin">
        <color indexed="64"/>
      </right>
      <top style="thin">
        <color indexed="8"/>
      </top>
      <bottom/>
      <diagonal/>
    </border>
    <border>
      <left style="medium">
        <color auto="1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64"/>
      </top>
      <bottom/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7">
    <xf numFmtId="0" fontId="0" fillId="0" borderId="0"/>
    <xf numFmtId="0" fontId="3" fillId="0" borderId="0" applyNumberFormat="0" applyFill="0" applyBorder="0" applyAlignment="0" applyProtection="0">
      <alignment vertical="top"/>
    </xf>
    <xf numFmtId="0" fontId="12" fillId="3" borderId="0" applyNumberFormat="0" applyBorder="0" applyAlignment="0" applyProtection="0"/>
    <xf numFmtId="0" fontId="13" fillId="0" borderId="0"/>
    <xf numFmtId="0" fontId="3" fillId="0" borderId="0" applyNumberFormat="0" applyFill="0" applyBorder="0" applyAlignment="0" applyProtection="0">
      <alignment vertical="top"/>
    </xf>
    <xf numFmtId="0" fontId="3" fillId="0" borderId="0" applyNumberFormat="0" applyFill="0" applyBorder="0" applyAlignment="0" applyProtection="0">
      <alignment vertical="top"/>
    </xf>
    <xf numFmtId="0" fontId="3" fillId="0" borderId="0" applyNumberFormat="0" applyFill="0" applyBorder="0" applyAlignment="0" applyProtection="0">
      <alignment vertical="top"/>
    </xf>
    <xf numFmtId="0" fontId="3" fillId="0" borderId="0" applyNumberFormat="0" applyFill="0" applyBorder="0" applyAlignment="0" applyProtection="0">
      <alignment vertical="top"/>
    </xf>
    <xf numFmtId="0" fontId="3" fillId="0" borderId="0" applyNumberFormat="0" applyFill="0" applyBorder="0" applyAlignment="0" applyProtection="0">
      <alignment vertical="top"/>
    </xf>
    <xf numFmtId="0" fontId="3" fillId="0" borderId="0" applyNumberFormat="0" applyFill="0" applyBorder="0" applyAlignment="0" applyProtection="0">
      <alignment vertical="top"/>
    </xf>
    <xf numFmtId="0" fontId="3" fillId="0" borderId="0" applyNumberFormat="0" applyFill="0" applyBorder="0" applyAlignment="0" applyProtection="0">
      <alignment vertical="top"/>
    </xf>
    <xf numFmtId="0" fontId="3" fillId="0" borderId="0" applyNumberFormat="0" applyFill="0" applyBorder="0" applyAlignment="0" applyProtection="0">
      <alignment vertical="top"/>
    </xf>
    <xf numFmtId="0" fontId="3" fillId="0" borderId="0" applyNumberFormat="0" applyFill="0" applyBorder="0" applyAlignment="0" applyProtection="0">
      <alignment vertical="top"/>
    </xf>
    <xf numFmtId="0" fontId="3" fillId="0" borderId="0" applyNumberFormat="0" applyFill="0" applyBorder="0" applyAlignment="0" applyProtection="0">
      <alignment vertical="top"/>
    </xf>
    <xf numFmtId="0" fontId="14" fillId="0" borderId="0"/>
    <xf numFmtId="0" fontId="3" fillId="0" borderId="0" applyNumberFormat="0" applyFill="0" applyBorder="0" applyAlignment="0" applyProtection="0">
      <alignment vertical="top"/>
    </xf>
    <xf numFmtId="0" fontId="3" fillId="0" borderId="0" applyNumberFormat="0" applyFill="0" applyBorder="0" applyAlignment="0" applyProtection="0">
      <alignment vertical="top"/>
    </xf>
    <xf numFmtId="0" fontId="3" fillId="0" borderId="0" applyNumberFormat="0" applyFill="0" applyBorder="0" applyAlignment="0" applyProtection="0">
      <alignment vertical="top"/>
    </xf>
    <xf numFmtId="0" fontId="3" fillId="0" borderId="0" applyNumberFormat="0" applyFill="0" applyBorder="0" applyAlignment="0" applyProtection="0">
      <alignment vertical="top"/>
    </xf>
    <xf numFmtId="0" fontId="3" fillId="0" borderId="0" applyNumberFormat="0" applyFill="0" applyBorder="0" applyAlignment="0" applyProtection="0">
      <alignment vertical="top"/>
    </xf>
    <xf numFmtId="0" fontId="3" fillId="0" borderId="0" applyNumberFormat="0" applyFill="0" applyBorder="0" applyAlignment="0" applyProtection="0">
      <alignment vertical="top"/>
    </xf>
    <xf numFmtId="0" fontId="15" fillId="0" borderId="0" applyNumberFormat="0" applyFill="0" applyBorder="0" applyAlignment="0" applyProtection="0">
      <alignment vertical="top"/>
    </xf>
    <xf numFmtId="0" fontId="3" fillId="0" borderId="0" applyNumberFormat="0" applyFill="0" applyBorder="0" applyAlignment="0" applyProtection="0">
      <alignment vertical="top"/>
    </xf>
    <xf numFmtId="0" fontId="12" fillId="0" borderId="0"/>
    <xf numFmtId="0" fontId="1" fillId="0" borderId="0"/>
    <xf numFmtId="0" fontId="1" fillId="0" borderId="0"/>
    <xf numFmtId="0" fontId="13" fillId="0" borderId="0"/>
    <xf numFmtId="0" fontId="3" fillId="0" borderId="0" applyNumberFormat="0" applyFill="0" applyBorder="0" applyAlignment="0" applyProtection="0">
      <alignment vertical="top"/>
    </xf>
    <xf numFmtId="0" fontId="3" fillId="0" borderId="0" applyNumberFormat="0" applyFill="0" applyBorder="0" applyAlignment="0" applyProtection="0">
      <alignment vertical="top"/>
    </xf>
    <xf numFmtId="0" fontId="3" fillId="0" borderId="0" applyNumberFormat="0" applyFill="0" applyBorder="0" applyAlignment="0" applyProtection="0">
      <alignment vertical="top"/>
    </xf>
    <xf numFmtId="0" fontId="3" fillId="0" borderId="0" applyNumberFormat="0" applyFill="0" applyBorder="0" applyAlignment="0" applyProtection="0">
      <alignment vertical="top"/>
    </xf>
    <xf numFmtId="0" fontId="16" fillId="0" borderId="0"/>
    <xf numFmtId="0" fontId="16" fillId="0" borderId="0"/>
    <xf numFmtId="0" fontId="17" fillId="0" borderId="0"/>
    <xf numFmtId="0" fontId="17" fillId="0" borderId="0"/>
    <xf numFmtId="0" fontId="16" fillId="0" borderId="0"/>
    <xf numFmtId="44" fontId="16" fillId="0" borderId="0" applyFont="0" applyFill="0" applyBorder="0" applyAlignment="0" applyProtection="0"/>
    <xf numFmtId="0" fontId="12" fillId="0" borderId="0"/>
    <xf numFmtId="0" fontId="17" fillId="0" borderId="0"/>
    <xf numFmtId="170" fontId="14" fillId="0" borderId="0" applyFill="0" applyBorder="0" applyAlignment="0" applyProtection="0"/>
    <xf numFmtId="0" fontId="17" fillId="0" borderId="0"/>
    <xf numFmtId="0" fontId="12" fillId="0" borderId="0"/>
    <xf numFmtId="0" fontId="3" fillId="0" borderId="0" applyNumberFormat="0" applyFill="0" applyBorder="0" applyAlignment="0" applyProtection="0">
      <alignment vertical="top"/>
    </xf>
    <xf numFmtId="0" fontId="3" fillId="0" borderId="0" applyNumberFormat="0" applyFill="0" applyBorder="0" applyAlignment="0" applyProtection="0">
      <alignment vertical="top"/>
    </xf>
    <xf numFmtId="0" fontId="3" fillId="0" borderId="0" applyNumberFormat="0" applyFill="0" applyBorder="0" applyAlignment="0" applyProtection="0">
      <alignment vertical="top"/>
    </xf>
    <xf numFmtId="0" fontId="3" fillId="0" borderId="0" applyNumberFormat="0" applyFill="0" applyBorder="0" applyAlignment="0" applyProtection="0">
      <alignment vertical="top"/>
    </xf>
    <xf numFmtId="0" fontId="3" fillId="0" borderId="0" applyNumberFormat="0" applyFill="0" applyBorder="0" applyAlignment="0" applyProtection="0">
      <alignment vertical="top"/>
    </xf>
  </cellStyleXfs>
  <cellXfs count="2059">
    <xf numFmtId="0" fontId="0" fillId="0" borderId="0" xfId="0"/>
    <xf numFmtId="0" fontId="5" fillId="0" borderId="0" xfId="1" applyNumberFormat="1" applyFont="1" applyFill="1" applyBorder="1" applyAlignment="1" applyProtection="1">
      <alignment horizontal="left"/>
      <protection locked="0"/>
    </xf>
    <xf numFmtId="49" fontId="9" fillId="2" borderId="2" xfId="1" applyNumberFormat="1" applyFont="1" applyFill="1" applyBorder="1" applyAlignment="1" applyProtection="1">
      <alignment horizontal="center" vertical="center" wrapText="1"/>
      <protection locked="0"/>
    </xf>
    <xf numFmtId="49" fontId="10" fillId="2" borderId="2" xfId="1" applyNumberFormat="1" applyFont="1" applyFill="1" applyBorder="1" applyAlignment="1" applyProtection="1">
      <alignment horizontal="center" vertical="center" wrapText="1"/>
      <protection locked="0"/>
    </xf>
    <xf numFmtId="49" fontId="10" fillId="2" borderId="1" xfId="1" applyNumberFormat="1" applyFont="1" applyFill="1" applyBorder="1" applyAlignment="1" applyProtection="1">
      <alignment horizontal="center" vertical="center" wrapText="1"/>
      <protection locked="0"/>
    </xf>
    <xf numFmtId="49" fontId="10" fillId="2" borderId="1" xfId="1" applyNumberFormat="1" applyFont="1" applyFill="1" applyBorder="1" applyAlignment="1" applyProtection="1">
      <alignment horizontal="left" vertical="center" wrapText="1"/>
      <protection locked="0"/>
    </xf>
    <xf numFmtId="0" fontId="18" fillId="0" borderId="0" xfId="21" applyNumberFormat="1" applyFont="1" applyFill="1" applyBorder="1" applyAlignment="1" applyProtection="1">
      <alignment horizontal="left"/>
      <protection locked="0"/>
    </xf>
    <xf numFmtId="49" fontId="7" fillId="2" borderId="1" xfId="21" applyNumberFormat="1" applyFont="1" applyFill="1" applyBorder="1" applyAlignment="1" applyProtection="1">
      <alignment horizontal="center" vertical="center" wrapText="1"/>
      <protection locked="0"/>
    </xf>
    <xf numFmtId="49" fontId="20" fillId="2" borderId="2" xfId="21" applyNumberFormat="1" applyFont="1" applyFill="1" applyBorder="1" applyAlignment="1" applyProtection="1">
      <alignment horizontal="center" vertical="center" wrapText="1"/>
      <protection locked="0"/>
    </xf>
    <xf numFmtId="49" fontId="21" fillId="2" borderId="2" xfId="21" applyNumberFormat="1" applyFont="1" applyFill="1" applyBorder="1" applyAlignment="1" applyProtection="1">
      <alignment horizontal="center" vertical="center" wrapText="1"/>
      <protection locked="0"/>
    </xf>
    <xf numFmtId="49" fontId="21" fillId="2" borderId="1" xfId="21" applyNumberFormat="1" applyFont="1" applyFill="1" applyBorder="1" applyAlignment="1" applyProtection="1">
      <alignment horizontal="center" vertical="center" wrapText="1"/>
      <protection locked="0"/>
    </xf>
    <xf numFmtId="49" fontId="21" fillId="2" borderId="1" xfId="21" applyNumberFormat="1" applyFont="1" applyFill="1" applyBorder="1" applyAlignment="1" applyProtection="1">
      <alignment horizontal="left" vertical="center" wrapText="1"/>
      <protection locked="0"/>
    </xf>
    <xf numFmtId="0" fontId="17" fillId="0" borderId="0" xfId="34"/>
    <xf numFmtId="0" fontId="5" fillId="0" borderId="0" xfId="11" applyNumberFormat="1" applyFont="1" applyFill="1" applyBorder="1" applyAlignment="1" applyProtection="1">
      <alignment horizontal="left"/>
      <protection locked="0"/>
    </xf>
    <xf numFmtId="0" fontId="24" fillId="0" borderId="0" xfId="34" applyFont="1"/>
    <xf numFmtId="0" fontId="17" fillId="0" borderId="0" xfId="34" applyAlignment="1">
      <alignment vertical="center"/>
    </xf>
    <xf numFmtId="0" fontId="25" fillId="0" borderId="0" xfId="34" applyFont="1" applyBorder="1" applyAlignment="1">
      <alignment horizontal="center" vertical="center"/>
    </xf>
    <xf numFmtId="49" fontId="24" fillId="0" borderId="1" xfId="34" applyNumberFormat="1" applyFont="1" applyBorder="1" applyAlignment="1">
      <alignment horizontal="center"/>
    </xf>
    <xf numFmtId="49" fontId="24" fillId="0" borderId="6" xfId="34" applyNumberFormat="1" applyFont="1" applyBorder="1" applyAlignment="1">
      <alignment horizontal="center"/>
    </xf>
    <xf numFmtId="4" fontId="17" fillId="0" borderId="1" xfId="34" applyNumberFormat="1" applyFont="1" applyBorder="1" applyAlignment="1">
      <alignment horizontal="center" vertical="center"/>
    </xf>
    <xf numFmtId="4" fontId="17" fillId="0" borderId="1" xfId="34" applyNumberFormat="1" applyFont="1" applyBorder="1" applyAlignment="1">
      <alignment horizontal="right" vertical="center"/>
    </xf>
    <xf numFmtId="4" fontId="17" fillId="0" borderId="6" xfId="34" applyNumberFormat="1" applyFont="1" applyBorder="1" applyAlignment="1">
      <alignment horizontal="right" vertical="center"/>
    </xf>
    <xf numFmtId="4" fontId="17" fillId="0" borderId="7" xfId="34" applyNumberFormat="1" applyFont="1" applyBorder="1" applyAlignment="1">
      <alignment horizontal="right" vertical="center"/>
    </xf>
    <xf numFmtId="49" fontId="16" fillId="0" borderId="1" xfId="34" quotePrefix="1" applyNumberFormat="1" applyFont="1" applyBorder="1" applyAlignment="1">
      <alignment horizontal="center" vertical="center"/>
    </xf>
    <xf numFmtId="49" fontId="16" fillId="0" borderId="1" xfId="34" applyNumberFormat="1" applyFont="1" applyBorder="1" applyAlignment="1">
      <alignment horizontal="center" vertical="center"/>
    </xf>
    <xf numFmtId="4" fontId="16" fillId="0" borderId="1" xfId="34" applyNumberFormat="1" applyFont="1" applyBorder="1" applyAlignment="1">
      <alignment horizontal="right" vertical="center"/>
    </xf>
    <xf numFmtId="4" fontId="16" fillId="0" borderId="6" xfId="34" applyNumberFormat="1" applyFont="1" applyBorder="1" applyAlignment="1">
      <alignment horizontal="right" vertical="center"/>
    </xf>
    <xf numFmtId="4" fontId="16" fillId="0" borderId="7" xfId="34" applyNumberFormat="1" applyFont="1" applyBorder="1" applyAlignment="1">
      <alignment horizontal="right" vertical="center"/>
    </xf>
    <xf numFmtId="49" fontId="16" fillId="0" borderId="9" xfId="34" applyNumberFormat="1" applyFont="1" applyBorder="1" applyAlignment="1">
      <alignment horizontal="center" vertical="center"/>
    </xf>
    <xf numFmtId="4" fontId="16" fillId="0" borderId="9" xfId="34" applyNumberFormat="1" applyFont="1" applyBorder="1" applyAlignment="1">
      <alignment horizontal="right" vertical="center"/>
    </xf>
    <xf numFmtId="4" fontId="16" fillId="0" borderId="10" xfId="34" applyNumberFormat="1" applyFont="1" applyBorder="1" applyAlignment="1">
      <alignment horizontal="right" vertical="center"/>
    </xf>
    <xf numFmtId="49" fontId="16" fillId="0" borderId="11" xfId="34" applyNumberFormat="1" applyFont="1" applyBorder="1" applyAlignment="1">
      <alignment horizontal="center" vertical="center"/>
    </xf>
    <xf numFmtId="4" fontId="16" fillId="0" borderId="11" xfId="34" applyNumberFormat="1" applyFont="1" applyBorder="1" applyAlignment="1">
      <alignment horizontal="right" vertical="center"/>
    </xf>
    <xf numFmtId="4" fontId="16" fillId="0" borderId="12" xfId="34" applyNumberFormat="1" applyFont="1" applyBorder="1" applyAlignment="1">
      <alignment horizontal="right" vertical="center"/>
    </xf>
    <xf numFmtId="49" fontId="16" fillId="0" borderId="2" xfId="34" applyNumberFormat="1" applyFont="1" applyBorder="1" applyAlignment="1">
      <alignment horizontal="center" vertical="center"/>
    </xf>
    <xf numFmtId="4" fontId="16" fillId="0" borderId="2" xfId="34" applyNumberFormat="1" applyFont="1" applyBorder="1" applyAlignment="1">
      <alignment horizontal="right" vertical="center"/>
    </xf>
    <xf numFmtId="4" fontId="16" fillId="0" borderId="13" xfId="34" applyNumberFormat="1" applyFont="1" applyBorder="1" applyAlignment="1">
      <alignment horizontal="right" vertical="center"/>
    </xf>
    <xf numFmtId="4" fontId="29" fillId="0" borderId="2" xfId="34" applyNumberFormat="1" applyFont="1" applyBorder="1" applyAlignment="1">
      <alignment horizontal="right" vertical="center"/>
    </xf>
    <xf numFmtId="49" fontId="16" fillId="0" borderId="15" xfId="34" applyNumberFormat="1" applyFont="1" applyBorder="1" applyAlignment="1">
      <alignment horizontal="center" vertical="center"/>
    </xf>
    <xf numFmtId="4" fontId="16" fillId="0" borderId="15" xfId="34" applyNumberFormat="1" applyFont="1" applyBorder="1" applyAlignment="1">
      <alignment horizontal="right" vertical="center"/>
    </xf>
    <xf numFmtId="49" fontId="16" fillId="0" borderId="17" xfId="34" applyNumberFormat="1" applyFont="1" applyBorder="1" applyAlignment="1">
      <alignment horizontal="center" vertical="center"/>
    </xf>
    <xf numFmtId="4" fontId="16" fillId="0" borderId="17" xfId="34" applyNumberFormat="1" applyFont="1" applyBorder="1" applyAlignment="1">
      <alignment horizontal="right" vertical="center"/>
    </xf>
    <xf numFmtId="49" fontId="16" fillId="0" borderId="18" xfId="34" applyNumberFormat="1" applyFont="1" applyBorder="1" applyAlignment="1">
      <alignment horizontal="center" vertical="center"/>
    </xf>
    <xf numFmtId="4" fontId="16" fillId="0" borderId="18" xfId="34" applyNumberFormat="1" applyFont="1" applyBorder="1" applyAlignment="1">
      <alignment horizontal="right" vertical="center"/>
    </xf>
    <xf numFmtId="4" fontId="16" fillId="0" borderId="25" xfId="34" applyNumberFormat="1" applyFont="1" applyBorder="1" applyAlignment="1">
      <alignment horizontal="right" vertical="center"/>
    </xf>
    <xf numFmtId="4" fontId="16" fillId="0" borderId="26" xfId="34" applyNumberFormat="1" applyFont="1" applyBorder="1" applyAlignment="1">
      <alignment horizontal="right" vertical="center"/>
    </xf>
    <xf numFmtId="4" fontId="16" fillId="0" borderId="22" xfId="34" applyNumberFormat="1" applyFont="1" applyBorder="1" applyAlignment="1">
      <alignment horizontal="right" vertical="center"/>
    </xf>
    <xf numFmtId="4" fontId="16" fillId="0" borderId="27" xfId="34" applyNumberFormat="1" applyFont="1" applyBorder="1" applyAlignment="1">
      <alignment horizontal="right" vertical="center"/>
    </xf>
    <xf numFmtId="49" fontId="16" fillId="0" borderId="25" xfId="34" applyNumberFormat="1" applyFont="1" applyBorder="1" applyAlignment="1">
      <alignment horizontal="center" vertical="center"/>
    </xf>
    <xf numFmtId="4" fontId="16" fillId="0" borderId="23" xfId="34" applyNumberFormat="1" applyFont="1" applyBorder="1" applyAlignment="1">
      <alignment horizontal="right" vertical="center"/>
    </xf>
    <xf numFmtId="49" fontId="16" fillId="0" borderId="28" xfId="34" applyNumberFormat="1" applyFont="1" applyBorder="1" applyAlignment="1">
      <alignment horizontal="center" vertical="center"/>
    </xf>
    <xf numFmtId="4" fontId="16" fillId="0" borderId="28" xfId="34" applyNumberFormat="1" applyFont="1" applyBorder="1" applyAlignment="1">
      <alignment horizontal="right" vertical="center"/>
    </xf>
    <xf numFmtId="49" fontId="31" fillId="0" borderId="2" xfId="34" applyNumberFormat="1" applyFont="1" applyBorder="1" applyAlignment="1">
      <alignment horizontal="center" vertical="center"/>
    </xf>
    <xf numFmtId="4" fontId="31" fillId="0" borderId="2" xfId="34" applyNumberFormat="1" applyFont="1" applyBorder="1" applyAlignment="1">
      <alignment horizontal="right" vertical="center"/>
    </xf>
    <xf numFmtId="4" fontId="31" fillId="0" borderId="13" xfId="34" applyNumberFormat="1" applyFont="1" applyBorder="1" applyAlignment="1">
      <alignment horizontal="right" vertical="center"/>
    </xf>
    <xf numFmtId="49" fontId="31" fillId="0" borderId="11" xfId="34" applyNumberFormat="1" applyFont="1" applyBorder="1" applyAlignment="1">
      <alignment horizontal="center" vertical="center"/>
    </xf>
    <xf numFmtId="4" fontId="31" fillId="0" borderId="11" xfId="34" applyNumberFormat="1" applyFont="1" applyBorder="1" applyAlignment="1">
      <alignment horizontal="right" vertical="center"/>
    </xf>
    <xf numFmtId="4" fontId="29" fillId="0" borderId="11" xfId="34" applyNumberFormat="1" applyFont="1" applyBorder="1" applyAlignment="1">
      <alignment horizontal="right" vertical="center"/>
    </xf>
    <xf numFmtId="49" fontId="16" fillId="0" borderId="29" xfId="34" applyNumberFormat="1" applyFont="1" applyBorder="1" applyAlignment="1">
      <alignment horizontal="center" vertical="center"/>
    </xf>
    <xf numFmtId="4" fontId="16" fillId="0" borderId="29" xfId="34" applyNumberFormat="1" applyFont="1" applyBorder="1" applyAlignment="1">
      <alignment horizontal="right" vertical="center"/>
    </xf>
    <xf numFmtId="49" fontId="16" fillId="0" borderId="30" xfId="34" applyNumberFormat="1" applyFont="1" applyBorder="1" applyAlignment="1">
      <alignment horizontal="center" vertical="center"/>
    </xf>
    <xf numFmtId="49" fontId="29" fillId="0" borderId="30" xfId="34" applyNumberFormat="1" applyFont="1" applyBorder="1" applyAlignment="1">
      <alignment horizontal="center" vertical="center"/>
    </xf>
    <xf numFmtId="49" fontId="29" fillId="0" borderId="16" xfId="34" applyNumberFormat="1" applyFont="1" applyBorder="1" applyAlignment="1">
      <alignment horizontal="center" vertical="center"/>
    </xf>
    <xf numFmtId="4" fontId="29" fillId="0" borderId="12" xfId="34" applyNumberFormat="1" applyFont="1" applyBorder="1" applyAlignment="1">
      <alignment horizontal="right" vertical="center"/>
    </xf>
    <xf numFmtId="49" fontId="16" fillId="0" borderId="20" xfId="34" applyNumberFormat="1" applyFont="1" applyBorder="1" applyAlignment="1">
      <alignment horizontal="center" vertical="center"/>
    </xf>
    <xf numFmtId="49" fontId="29" fillId="0" borderId="20" xfId="34" applyNumberFormat="1" applyFont="1" applyBorder="1" applyAlignment="1">
      <alignment horizontal="center" vertical="center"/>
    </xf>
    <xf numFmtId="4" fontId="29" fillId="0" borderId="20" xfId="34" applyNumberFormat="1" applyFont="1" applyBorder="1" applyAlignment="1">
      <alignment horizontal="right" vertical="center"/>
    </xf>
    <xf numFmtId="49" fontId="29" fillId="0" borderId="15" xfId="34" applyNumberFormat="1" applyFont="1" applyBorder="1" applyAlignment="1">
      <alignment horizontal="center" vertical="center"/>
    </xf>
    <xf numFmtId="4" fontId="29" fillId="0" borderId="15" xfId="34" applyNumberFormat="1" applyFont="1" applyBorder="1" applyAlignment="1">
      <alignment horizontal="right" vertical="center"/>
    </xf>
    <xf numFmtId="49" fontId="16" fillId="0" borderId="16" xfId="34" applyNumberFormat="1" applyFont="1" applyBorder="1" applyAlignment="1">
      <alignment horizontal="center" vertical="center"/>
    </xf>
    <xf numFmtId="4" fontId="17" fillId="0" borderId="0" xfId="34" applyNumberFormat="1"/>
    <xf numFmtId="0" fontId="17" fillId="0" borderId="0" xfId="34" applyFont="1"/>
    <xf numFmtId="0" fontId="17" fillId="0" borderId="0" xfId="34" applyFont="1" applyAlignment="1">
      <alignment wrapText="1"/>
    </xf>
    <xf numFmtId="0" fontId="34" fillId="0" borderId="0" xfId="33" applyFont="1"/>
    <xf numFmtId="0" fontId="3" fillId="0" borderId="0" xfId="11" applyAlignment="1"/>
    <xf numFmtId="4" fontId="40" fillId="0" borderId="36" xfId="33" applyNumberFormat="1" applyFont="1" applyBorder="1" applyAlignment="1">
      <alignment horizontal="right" vertical="center" wrapText="1"/>
    </xf>
    <xf numFmtId="0" fontId="41" fillId="0" borderId="0" xfId="33" applyFont="1" applyAlignment="1">
      <alignment vertical="center"/>
    </xf>
    <xf numFmtId="4" fontId="12" fillId="0" borderId="4" xfId="33" applyNumberFormat="1" applyFont="1" applyBorder="1" applyAlignment="1">
      <alignment horizontal="right" vertical="center"/>
    </xf>
    <xf numFmtId="0" fontId="34" fillId="0" borderId="0" xfId="33" applyFont="1" applyAlignment="1">
      <alignment vertical="top"/>
    </xf>
    <xf numFmtId="0" fontId="44" fillId="0" borderId="6" xfId="33" applyFont="1" applyBorder="1" applyAlignment="1">
      <alignment horizontal="left" vertical="top" wrapText="1"/>
    </xf>
    <xf numFmtId="0" fontId="34" fillId="6" borderId="39" xfId="33" applyFont="1" applyFill="1" applyBorder="1" applyAlignment="1">
      <alignment vertical="top" wrapText="1"/>
    </xf>
    <xf numFmtId="0" fontId="39" fillId="7" borderId="18" xfId="33" applyFont="1" applyFill="1" applyBorder="1" applyAlignment="1">
      <alignment horizontal="left" vertical="center" wrapText="1"/>
    </xf>
    <xf numFmtId="0" fontId="45" fillId="7" borderId="18" xfId="33" applyFont="1" applyFill="1" applyBorder="1" applyAlignment="1">
      <alignment horizontal="left" vertical="center" wrapText="1"/>
    </xf>
    <xf numFmtId="0" fontId="39" fillId="7" borderId="42" xfId="33" applyFont="1" applyFill="1" applyBorder="1" applyAlignment="1">
      <alignment horizontal="left" vertical="center" wrapText="1"/>
    </xf>
    <xf numFmtId="4" fontId="39" fillId="7" borderId="25" xfId="33" applyNumberFormat="1" applyFont="1" applyFill="1" applyBorder="1" applyAlignment="1">
      <alignment vertical="center"/>
    </xf>
    <xf numFmtId="0" fontId="34" fillId="8" borderId="18" xfId="33" applyFont="1" applyFill="1" applyBorder="1" applyAlignment="1">
      <alignment horizontal="left" vertical="center" wrapText="1"/>
    </xf>
    <xf numFmtId="0" fontId="34" fillId="8" borderId="42" xfId="33" applyFont="1" applyFill="1" applyBorder="1" applyAlignment="1">
      <alignment horizontal="left" vertical="center" wrapText="1"/>
    </xf>
    <xf numFmtId="4" fontId="45" fillId="8" borderId="43" xfId="33" applyNumberFormat="1" applyFont="1" applyFill="1" applyBorder="1" applyAlignment="1">
      <alignment vertical="center"/>
    </xf>
    <xf numFmtId="0" fontId="41" fillId="0" borderId="18" xfId="33" applyFont="1" applyBorder="1" applyAlignment="1">
      <alignment horizontal="left" vertical="center" wrapText="1"/>
    </xf>
    <xf numFmtId="0" fontId="34" fillId="0" borderId="18" xfId="33" applyFont="1" applyBorder="1" applyAlignment="1">
      <alignment horizontal="left" vertical="top" wrapText="1"/>
    </xf>
    <xf numFmtId="4" fontId="45" fillId="0" borderId="43" xfId="33" applyNumberFormat="1" applyFont="1" applyBorder="1" applyAlignment="1">
      <alignment vertical="center"/>
    </xf>
    <xf numFmtId="4" fontId="44" fillId="0" borderId="18" xfId="33" applyNumberFormat="1" applyFont="1" applyBorder="1" applyAlignment="1">
      <alignment horizontal="right" vertical="center" wrapText="1"/>
    </xf>
    <xf numFmtId="0" fontId="39" fillId="7" borderId="37" xfId="33" applyFont="1" applyFill="1" applyBorder="1" applyAlignment="1">
      <alignment horizontal="left" vertical="center" wrapText="1"/>
    </xf>
    <xf numFmtId="4" fontId="39" fillId="7" borderId="14" xfId="33" applyNumberFormat="1" applyFont="1" applyFill="1" applyBorder="1" applyAlignment="1">
      <alignment horizontal="right" vertical="center"/>
    </xf>
    <xf numFmtId="0" fontId="45" fillId="8" borderId="18" xfId="33" applyFont="1" applyFill="1" applyBorder="1" applyAlignment="1">
      <alignment horizontal="left" vertical="center" wrapText="1"/>
    </xf>
    <xf numFmtId="0" fontId="39" fillId="8" borderId="18" xfId="33" applyFont="1" applyFill="1" applyBorder="1" applyAlignment="1">
      <alignment horizontal="left" vertical="center" wrapText="1"/>
    </xf>
    <xf numFmtId="0" fontId="45" fillId="8" borderId="37" xfId="33" applyFont="1" applyFill="1" applyBorder="1" applyAlignment="1">
      <alignment horizontal="left" vertical="center" wrapText="1"/>
    </xf>
    <xf numFmtId="4" fontId="45" fillId="8" borderId="14" xfId="33" applyNumberFormat="1" applyFont="1" applyFill="1" applyBorder="1" applyAlignment="1">
      <alignment horizontal="right" vertical="center"/>
    </xf>
    <xf numFmtId="0" fontId="45" fillId="9" borderId="18" xfId="33" applyFont="1" applyFill="1" applyBorder="1" applyAlignment="1">
      <alignment horizontal="left" vertical="center" wrapText="1"/>
    </xf>
    <xf numFmtId="0" fontId="45" fillId="9" borderId="18" xfId="33" applyFont="1" applyFill="1" applyBorder="1" applyAlignment="1">
      <alignment horizontal="left" vertical="top" wrapText="1"/>
    </xf>
    <xf numFmtId="4" fontId="45" fillId="9" borderId="43" xfId="33" applyNumberFormat="1" applyFont="1" applyFill="1" applyBorder="1" applyAlignment="1">
      <alignment horizontal="right" vertical="center"/>
    </xf>
    <xf numFmtId="4" fontId="45" fillId="8" borderId="43" xfId="33" applyNumberFormat="1" applyFont="1" applyFill="1" applyBorder="1" applyAlignment="1">
      <alignment horizontal="right" vertical="center"/>
    </xf>
    <xf numFmtId="0" fontId="34" fillId="8" borderId="37" xfId="33" applyFont="1" applyFill="1" applyBorder="1" applyAlignment="1">
      <alignment horizontal="left" vertical="center" wrapText="1"/>
    </xf>
    <xf numFmtId="4" fontId="45" fillId="8" borderId="14" xfId="33" applyNumberFormat="1" applyFont="1" applyFill="1" applyBorder="1" applyAlignment="1">
      <alignment vertical="center"/>
    </xf>
    <xf numFmtId="4" fontId="45" fillId="0" borderId="14" xfId="33" applyNumberFormat="1" applyFont="1" applyBorder="1" applyAlignment="1">
      <alignment vertical="center"/>
    </xf>
    <xf numFmtId="166" fontId="44" fillId="0" borderId="25" xfId="33" applyNumberFormat="1" applyFont="1" applyBorder="1" applyAlignment="1">
      <alignment horizontal="left" vertical="top" wrapText="1"/>
    </xf>
    <xf numFmtId="0" fontId="44" fillId="0" borderId="23" xfId="33" applyFont="1" applyBorder="1" applyAlignment="1">
      <alignment horizontal="left" vertical="top" wrapText="1"/>
    </xf>
    <xf numFmtId="4" fontId="45" fillId="0" borderId="25" xfId="33" applyNumberFormat="1" applyFont="1" applyBorder="1" applyAlignment="1">
      <alignment horizontal="right" vertical="center"/>
    </xf>
    <xf numFmtId="4" fontId="44" fillId="0" borderId="25" xfId="33" applyNumberFormat="1" applyFont="1" applyBorder="1" applyAlignment="1">
      <alignment horizontal="right" vertical="center" wrapText="1"/>
    </xf>
    <xf numFmtId="166" fontId="44" fillId="5" borderId="30" xfId="33" applyNumberFormat="1" applyFont="1" applyFill="1" applyBorder="1" applyAlignment="1">
      <alignment horizontal="left" vertical="top" wrapText="1"/>
    </xf>
    <xf numFmtId="0" fontId="34" fillId="11" borderId="18" xfId="33" applyFont="1" applyFill="1" applyBorder="1" applyAlignment="1">
      <alignment horizontal="left" vertical="top" wrapText="1"/>
    </xf>
    <xf numFmtId="166" fontId="44" fillId="11" borderId="18" xfId="33" applyNumberFormat="1" applyFont="1" applyFill="1" applyBorder="1" applyAlignment="1">
      <alignment horizontal="left" vertical="top" wrapText="1"/>
    </xf>
    <xf numFmtId="0" fontId="47" fillId="11" borderId="42" xfId="33" applyFont="1" applyFill="1" applyBorder="1" applyAlignment="1">
      <alignment horizontal="left" vertical="top" wrapText="1"/>
    </xf>
    <xf numFmtId="4" fontId="45" fillId="11" borderId="25" xfId="33" applyNumberFormat="1" applyFont="1" applyFill="1" applyBorder="1" applyAlignment="1">
      <alignment horizontal="right" vertical="center"/>
    </xf>
    <xf numFmtId="0" fontId="34" fillId="10" borderId="25" xfId="33" applyFont="1" applyFill="1" applyBorder="1" applyAlignment="1">
      <alignment vertical="top" wrapText="1"/>
    </xf>
    <xf numFmtId="4" fontId="45" fillId="10" borderId="25" xfId="33" applyNumberFormat="1" applyFont="1" applyFill="1" applyBorder="1" applyAlignment="1">
      <alignment horizontal="right" vertical="center"/>
    </xf>
    <xf numFmtId="0" fontId="34" fillId="6" borderId="25" xfId="33" applyFont="1" applyFill="1" applyBorder="1" applyAlignment="1">
      <alignment horizontal="left" vertical="top" wrapText="1"/>
    </xf>
    <xf numFmtId="166" fontId="44" fillId="6" borderId="24" xfId="33" applyNumberFormat="1" applyFont="1" applyFill="1" applyBorder="1" applyAlignment="1">
      <alignment horizontal="left" vertical="top" wrapText="1"/>
    </xf>
    <xf numFmtId="0" fontId="44" fillId="6" borderId="23" xfId="33" applyFont="1" applyFill="1" applyBorder="1" applyAlignment="1">
      <alignment horizontal="left" vertical="top" wrapText="1"/>
    </xf>
    <xf numFmtId="4" fontId="45" fillId="6" borderId="25" xfId="33" applyNumberFormat="1" applyFont="1" applyFill="1" applyBorder="1" applyAlignment="1">
      <alignment horizontal="right" vertical="center"/>
    </xf>
    <xf numFmtId="0" fontId="34" fillId="0" borderId="14" xfId="33" applyFont="1" applyBorder="1" applyAlignment="1">
      <alignment vertical="top" wrapText="1"/>
    </xf>
    <xf numFmtId="166" fontId="44" fillId="0" borderId="47" xfId="33" applyNumberFormat="1" applyFont="1" applyBorder="1" applyAlignment="1">
      <alignment horizontal="left" vertical="top" wrapText="1"/>
    </xf>
    <xf numFmtId="0" fontId="44" fillId="0" borderId="43" xfId="33" applyFont="1" applyBorder="1" applyAlignment="1">
      <alignment horizontal="left" vertical="top" wrapText="1"/>
    </xf>
    <xf numFmtId="4" fontId="45" fillId="0" borderId="14" xfId="33" applyNumberFormat="1" applyFont="1" applyBorder="1" applyAlignment="1">
      <alignment horizontal="right" vertical="center"/>
    </xf>
    <xf numFmtId="0" fontId="34" fillId="0" borderId="11" xfId="33" applyFont="1" applyBorder="1" applyAlignment="1">
      <alignment vertical="top" wrapText="1"/>
    </xf>
    <xf numFmtId="166" fontId="44" fillId="0" borderId="16" xfId="33" applyNumberFormat="1" applyFont="1" applyBorder="1" applyAlignment="1">
      <alignment horizontal="left" vertical="top" wrapText="1"/>
    </xf>
    <xf numFmtId="0" fontId="44" fillId="0" borderId="12" xfId="33" applyFont="1" applyBorder="1" applyAlignment="1">
      <alignment horizontal="left" vertical="top" wrapText="1"/>
    </xf>
    <xf numFmtId="4" fontId="45" fillId="0" borderId="11" xfId="33" applyNumberFormat="1" applyFont="1" applyBorder="1" applyAlignment="1">
      <alignment horizontal="right" vertical="center"/>
    </xf>
    <xf numFmtId="4" fontId="44" fillId="0" borderId="11" xfId="33" applyNumberFormat="1" applyFont="1" applyBorder="1" applyAlignment="1">
      <alignment horizontal="right" vertical="center" wrapText="1"/>
    </xf>
    <xf numFmtId="4" fontId="39" fillId="0" borderId="25" xfId="33" applyNumberFormat="1" applyFont="1" applyBorder="1" applyAlignment="1">
      <alignment horizontal="right" vertical="center"/>
    </xf>
    <xf numFmtId="0" fontId="39" fillId="7" borderId="18" xfId="33" applyFont="1" applyFill="1" applyBorder="1" applyAlignment="1">
      <alignment horizontal="left" vertical="top" wrapText="1"/>
    </xf>
    <xf numFmtId="0" fontId="34" fillId="7" borderId="18" xfId="33" applyFont="1" applyFill="1" applyBorder="1" applyAlignment="1">
      <alignment vertical="top" wrapText="1"/>
    </xf>
    <xf numFmtId="166" fontId="44" fillId="7" borderId="18" xfId="33" applyNumberFormat="1" applyFont="1" applyFill="1" applyBorder="1" applyAlignment="1">
      <alignment horizontal="left" vertical="top" wrapText="1"/>
    </xf>
    <xf numFmtId="0" fontId="11" fillId="7" borderId="42" xfId="33" applyFont="1" applyFill="1" applyBorder="1" applyAlignment="1">
      <alignment horizontal="left" vertical="top" wrapText="1"/>
    </xf>
    <xf numFmtId="4" fontId="45" fillId="7" borderId="25" xfId="33" applyNumberFormat="1" applyFont="1" applyFill="1" applyBorder="1" applyAlignment="1">
      <alignment horizontal="right" vertical="center"/>
    </xf>
    <xf numFmtId="0" fontId="34" fillId="8" borderId="18" xfId="33" applyFont="1" applyFill="1" applyBorder="1" applyAlignment="1">
      <alignment horizontal="left" vertical="top" wrapText="1"/>
    </xf>
    <xf numFmtId="166" fontId="44" fillId="8" borderId="18" xfId="33" applyNumberFormat="1" applyFont="1" applyFill="1" applyBorder="1" applyAlignment="1">
      <alignment horizontal="left" vertical="top" wrapText="1"/>
    </xf>
    <xf numFmtId="0" fontId="11" fillId="8" borderId="42" xfId="33" applyFont="1" applyFill="1" applyBorder="1" applyAlignment="1">
      <alignment horizontal="left" vertical="top" wrapText="1"/>
    </xf>
    <xf numFmtId="4" fontId="45" fillId="8" borderId="25" xfId="33" applyNumberFormat="1" applyFont="1" applyFill="1" applyBorder="1" applyAlignment="1">
      <alignment horizontal="right" vertical="center"/>
    </xf>
    <xf numFmtId="0" fontId="34" fillId="0" borderId="18" xfId="33" applyFont="1" applyBorder="1" applyAlignment="1">
      <alignment vertical="top" wrapText="1"/>
    </xf>
    <xf numFmtId="166" fontId="44" fillId="0" borderId="18" xfId="33" applyNumberFormat="1" applyFont="1" applyBorder="1" applyAlignment="1">
      <alignment horizontal="left" vertical="top" wrapText="1"/>
    </xf>
    <xf numFmtId="0" fontId="44" fillId="0" borderId="42" xfId="33" applyFont="1" applyBorder="1" applyAlignment="1">
      <alignment horizontal="left" vertical="top" wrapText="1"/>
    </xf>
    <xf numFmtId="4" fontId="39" fillId="5" borderId="14" xfId="33" applyNumberFormat="1" applyFont="1" applyFill="1" applyBorder="1" applyAlignment="1">
      <alignment horizontal="right" vertical="center"/>
    </xf>
    <xf numFmtId="4" fontId="12" fillId="0" borderId="14" xfId="33" applyNumberFormat="1" applyFont="1" applyBorder="1" applyAlignment="1">
      <alignment vertical="center"/>
    </xf>
    <xf numFmtId="166" fontId="44" fillId="0" borderId="39" xfId="33" applyNumberFormat="1" applyFont="1" applyBorder="1" applyAlignment="1">
      <alignment horizontal="left" vertical="top" wrapText="1"/>
    </xf>
    <xf numFmtId="4" fontId="39" fillId="7" borderId="43" xfId="33" applyNumberFormat="1" applyFont="1" applyFill="1" applyBorder="1" applyAlignment="1">
      <alignment vertical="center"/>
    </xf>
    <xf numFmtId="0" fontId="44" fillId="8" borderId="42" xfId="33" applyFont="1" applyFill="1" applyBorder="1" applyAlignment="1">
      <alignment horizontal="left" vertical="top" wrapText="1"/>
    </xf>
    <xf numFmtId="4" fontId="45" fillId="8" borderId="25" xfId="33" applyNumberFormat="1" applyFont="1" applyFill="1" applyBorder="1" applyAlignment="1">
      <alignment vertical="center"/>
    </xf>
    <xf numFmtId="0" fontId="45" fillId="8" borderId="18" xfId="33" applyFont="1" applyFill="1" applyBorder="1" applyAlignment="1">
      <alignment horizontal="left" vertical="top" wrapText="1"/>
    </xf>
    <xf numFmtId="0" fontId="47" fillId="8" borderId="42" xfId="33" applyFont="1" applyFill="1" applyBorder="1" applyAlignment="1">
      <alignment horizontal="left" vertical="top" wrapText="1"/>
    </xf>
    <xf numFmtId="0" fontId="3" fillId="9" borderId="0" xfId="11" applyFill="1" applyAlignment="1"/>
    <xf numFmtId="0" fontId="39" fillId="9" borderId="18" xfId="33" applyFont="1" applyFill="1" applyBorder="1" applyAlignment="1">
      <alignment horizontal="left" vertical="center" wrapText="1"/>
    </xf>
    <xf numFmtId="4" fontId="45" fillId="9" borderId="25" xfId="33" applyNumberFormat="1" applyFont="1" applyFill="1" applyBorder="1" applyAlignment="1">
      <alignment vertical="center"/>
    </xf>
    <xf numFmtId="0" fontId="34" fillId="0" borderId="18" xfId="33" applyFont="1" applyFill="1" applyBorder="1" applyAlignment="1">
      <alignment horizontal="left" vertical="top" wrapText="1"/>
    </xf>
    <xf numFmtId="4" fontId="45" fillId="0" borderId="25" xfId="33" applyNumberFormat="1" applyFont="1" applyBorder="1" applyAlignment="1">
      <alignment vertical="center"/>
    </xf>
    <xf numFmtId="0" fontId="44" fillId="0" borderId="18" xfId="33" applyFont="1" applyBorder="1" applyAlignment="1">
      <alignment horizontal="left" vertical="top" wrapText="1"/>
    </xf>
    <xf numFmtId="4" fontId="45" fillId="0" borderId="18" xfId="33" applyNumberFormat="1" applyFont="1" applyBorder="1" applyAlignment="1">
      <alignment vertical="center"/>
    </xf>
    <xf numFmtId="0" fontId="34" fillId="5" borderId="14" xfId="33" applyFont="1" applyFill="1" applyBorder="1" applyAlignment="1">
      <alignment vertical="top" wrapText="1"/>
    </xf>
    <xf numFmtId="0" fontId="34" fillId="5" borderId="47" xfId="33" applyFont="1" applyFill="1" applyBorder="1" applyAlignment="1">
      <alignment vertical="top" wrapText="1"/>
    </xf>
    <xf numFmtId="0" fontId="43" fillId="5" borderId="43" xfId="33" applyFont="1" applyFill="1" applyBorder="1" applyAlignment="1">
      <alignment horizontal="left" vertical="top" wrapText="1"/>
    </xf>
    <xf numFmtId="0" fontId="39" fillId="7" borderId="18" xfId="33" applyFont="1" applyFill="1" applyBorder="1" applyAlignment="1">
      <alignment vertical="top" wrapText="1"/>
    </xf>
    <xf numFmtId="166" fontId="11" fillId="7" borderId="18" xfId="33" applyNumberFormat="1" applyFont="1" applyFill="1" applyBorder="1" applyAlignment="1">
      <alignment horizontal="left" vertical="top" wrapText="1"/>
    </xf>
    <xf numFmtId="4" fontId="39" fillId="7" borderId="25" xfId="33" applyNumberFormat="1" applyFont="1" applyFill="1" applyBorder="1" applyAlignment="1">
      <alignment horizontal="right" vertical="center"/>
    </xf>
    <xf numFmtId="0" fontId="39" fillId="7" borderId="25" xfId="33" applyFont="1" applyFill="1" applyBorder="1" applyAlignment="1">
      <alignment horizontal="left" vertical="top" wrapText="1"/>
    </xf>
    <xf numFmtId="166" fontId="11" fillId="7" borderId="51" xfId="33" applyNumberFormat="1" applyFont="1" applyFill="1" applyBorder="1" applyAlignment="1">
      <alignment horizontal="left" vertical="top" wrapText="1"/>
    </xf>
    <xf numFmtId="0" fontId="11" fillId="7" borderId="23" xfId="33" applyFont="1" applyFill="1" applyBorder="1" applyAlignment="1">
      <alignment horizontal="left" vertical="top" wrapText="1"/>
    </xf>
    <xf numFmtId="0" fontId="45" fillId="8" borderId="25" xfId="33" applyFont="1" applyFill="1" applyBorder="1" applyAlignment="1">
      <alignment horizontal="left" vertical="top" wrapText="1"/>
    </xf>
    <xf numFmtId="166" fontId="47" fillId="8" borderId="51" xfId="33" applyNumberFormat="1" applyFont="1" applyFill="1" applyBorder="1" applyAlignment="1">
      <alignment horizontal="left" vertical="top" wrapText="1"/>
    </xf>
    <xf numFmtId="0" fontId="47" fillId="8" borderId="23" xfId="33" applyFont="1" applyFill="1" applyBorder="1" applyAlignment="1">
      <alignment horizontal="left" vertical="top" wrapText="1"/>
    </xf>
    <xf numFmtId="0" fontId="45" fillId="9" borderId="25" xfId="33" applyFont="1" applyFill="1" applyBorder="1" applyAlignment="1">
      <alignment horizontal="left" vertical="top" wrapText="1"/>
    </xf>
    <xf numFmtId="4" fontId="45" fillId="9" borderId="25" xfId="33" applyNumberFormat="1" applyFont="1" applyFill="1" applyBorder="1" applyAlignment="1">
      <alignment horizontal="right" vertical="center"/>
    </xf>
    <xf numFmtId="0" fontId="34" fillId="8" borderId="25" xfId="33" applyFont="1" applyFill="1" applyBorder="1" applyAlignment="1">
      <alignment horizontal="left" vertical="top" wrapText="1"/>
    </xf>
    <xf numFmtId="166" fontId="44" fillId="8" borderId="51" xfId="33" applyNumberFormat="1" applyFont="1" applyFill="1" applyBorder="1" applyAlignment="1">
      <alignment horizontal="left" vertical="top" wrapText="1"/>
    </xf>
    <xf numFmtId="0" fontId="44" fillId="8" borderId="23" xfId="33" applyFont="1" applyFill="1" applyBorder="1" applyAlignment="1">
      <alignment horizontal="left" vertical="top" wrapText="1"/>
    </xf>
    <xf numFmtId="166" fontId="44" fillId="0" borderId="30" xfId="33" applyNumberFormat="1" applyFont="1" applyBorder="1" applyAlignment="1">
      <alignment horizontal="left" vertical="top" wrapText="1"/>
    </xf>
    <xf numFmtId="165" fontId="44" fillId="6" borderId="14" xfId="33" applyNumberFormat="1" applyFont="1" applyFill="1" applyBorder="1" applyAlignment="1">
      <alignment horizontal="left" vertical="top" wrapText="1"/>
    </xf>
    <xf numFmtId="0" fontId="34" fillId="6" borderId="47" xfId="33" applyFont="1" applyFill="1" applyBorder="1" applyAlignment="1">
      <alignment vertical="top" wrapText="1"/>
    </xf>
    <xf numFmtId="0" fontId="44" fillId="6" borderId="43" xfId="33" applyFont="1" applyFill="1" applyBorder="1" applyAlignment="1">
      <alignment horizontal="left" vertical="top" wrapText="1"/>
    </xf>
    <xf numFmtId="4" fontId="45" fillId="6" borderId="14" xfId="33" applyNumberFormat="1" applyFont="1" applyFill="1" applyBorder="1" applyAlignment="1">
      <alignment horizontal="right" vertical="center"/>
    </xf>
    <xf numFmtId="0" fontId="34" fillId="0" borderId="36" xfId="33" applyFont="1" applyBorder="1" applyAlignment="1">
      <alignment vertical="top" wrapText="1"/>
    </xf>
    <xf numFmtId="4" fontId="40" fillId="0" borderId="54" xfId="33" applyNumberFormat="1" applyFont="1" applyBorder="1" applyAlignment="1">
      <alignment horizontal="right" vertical="center" wrapText="1"/>
    </xf>
    <xf numFmtId="4" fontId="49" fillId="0" borderId="36" xfId="33" applyNumberFormat="1" applyFont="1" applyBorder="1" applyAlignment="1">
      <alignment horizontal="right" vertical="center" wrapText="1"/>
    </xf>
    <xf numFmtId="4" fontId="41" fillId="0" borderId="56" xfId="33" applyNumberFormat="1" applyFont="1" applyBorder="1" applyAlignment="1">
      <alignment vertical="center"/>
    </xf>
    <xf numFmtId="0" fontId="45" fillId="7" borderId="15" xfId="33" applyFont="1" applyFill="1" applyBorder="1" applyAlignment="1">
      <alignment horizontal="left" vertical="center" wrapText="1"/>
    </xf>
    <xf numFmtId="0" fontId="39" fillId="7" borderId="27" xfId="33" applyFont="1" applyFill="1" applyBorder="1" applyAlignment="1">
      <alignment horizontal="left" vertical="center" wrapText="1"/>
    </xf>
    <xf numFmtId="4" fontId="40" fillId="7" borderId="11" xfId="33" applyNumberFormat="1" applyFont="1" applyFill="1" applyBorder="1" applyAlignment="1">
      <alignment vertical="center"/>
    </xf>
    <xf numFmtId="0" fontId="34" fillId="8" borderId="18" xfId="33" applyFont="1" applyFill="1" applyBorder="1" applyAlignment="1">
      <alignment horizontal="left"/>
    </xf>
    <xf numFmtId="0" fontId="41" fillId="8" borderId="18" xfId="33" applyFont="1" applyFill="1" applyBorder="1"/>
    <xf numFmtId="0" fontId="39" fillId="8" borderId="27" xfId="33" applyFont="1" applyFill="1" applyBorder="1" applyAlignment="1">
      <alignment horizontal="left" vertical="center" wrapText="1"/>
    </xf>
    <xf numFmtId="4" fontId="34" fillId="8" borderId="25" xfId="33" applyNumberFormat="1" applyFont="1" applyFill="1" applyBorder="1" applyAlignment="1">
      <alignment vertical="center"/>
    </xf>
    <xf numFmtId="0" fontId="41" fillId="0" borderId="18" xfId="33" applyFont="1" applyBorder="1"/>
    <xf numFmtId="0" fontId="34" fillId="0" borderId="18" xfId="33" applyFont="1" applyBorder="1" applyAlignment="1">
      <alignment horizontal="left" vertical="center"/>
    </xf>
    <xf numFmtId="0" fontId="34" fillId="0" borderId="42" xfId="33" applyFont="1" applyBorder="1" applyAlignment="1">
      <alignment horizontal="left" vertical="top" wrapText="1"/>
    </xf>
    <xf numFmtId="4" fontId="34" fillId="0" borderId="25" xfId="33" applyNumberFormat="1" applyFont="1" applyBorder="1" applyAlignment="1">
      <alignment horizontal="right" vertical="center"/>
    </xf>
    <xf numFmtId="4" fontId="34" fillId="0" borderId="24" xfId="33" applyNumberFormat="1" applyFont="1" applyBorder="1" applyAlignment="1">
      <alignment horizontal="right" vertical="center" wrapText="1"/>
    </xf>
    <xf numFmtId="4" fontId="40" fillId="7" borderId="25" xfId="33" applyNumberFormat="1" applyFont="1" applyFill="1" applyBorder="1" applyAlignment="1">
      <alignment vertical="center"/>
    </xf>
    <xf numFmtId="0" fontId="34" fillId="8" borderId="42" xfId="33" applyFont="1" applyFill="1" applyBorder="1"/>
    <xf numFmtId="0" fontId="34" fillId="0" borderId="18" xfId="33" applyFont="1" applyFill="1" applyBorder="1" applyAlignment="1">
      <alignment horizontal="left" vertical="center" wrapText="1"/>
    </xf>
    <xf numFmtId="4" fontId="34" fillId="0" borderId="21" xfId="33" applyNumberFormat="1" applyFont="1" applyBorder="1" applyAlignment="1">
      <alignment vertical="center"/>
    </xf>
    <xf numFmtId="166" fontId="44" fillId="6" borderId="59" xfId="33" applyNumberFormat="1" applyFont="1" applyFill="1" applyBorder="1" applyAlignment="1">
      <alignment horizontal="left" vertical="top" wrapText="1"/>
    </xf>
    <xf numFmtId="0" fontId="44" fillId="0" borderId="29" xfId="33" applyFont="1" applyBorder="1" applyAlignment="1">
      <alignment horizontal="left" vertical="top" wrapText="1"/>
    </xf>
    <xf numFmtId="4" fontId="41" fillId="0" borderId="56" xfId="33" applyNumberFormat="1" applyFont="1" applyBorder="1" applyAlignment="1">
      <alignment vertical="center" wrapText="1"/>
    </xf>
    <xf numFmtId="0" fontId="38" fillId="7" borderId="18" xfId="33" applyFont="1" applyFill="1" applyBorder="1" applyAlignment="1">
      <alignment horizontal="left" vertical="center" wrapText="1"/>
    </xf>
    <xf numFmtId="4" fontId="40" fillId="7" borderId="18" xfId="33" applyNumberFormat="1" applyFont="1" applyFill="1" applyBorder="1" applyAlignment="1">
      <alignment horizontal="right" vertical="center" wrapText="1"/>
    </xf>
    <xf numFmtId="0" fontId="47" fillId="8" borderId="18" xfId="33" applyFont="1" applyFill="1" applyBorder="1" applyAlignment="1">
      <alignment horizontal="left" vertical="center" wrapText="1"/>
    </xf>
    <xf numFmtId="4" fontId="45" fillId="8" borderId="18" xfId="33" applyNumberFormat="1" applyFont="1" applyFill="1" applyBorder="1" applyAlignment="1">
      <alignment horizontal="right" vertical="center" wrapText="1"/>
    </xf>
    <xf numFmtId="0" fontId="38" fillId="0" borderId="18" xfId="33" applyFont="1" applyBorder="1" applyAlignment="1">
      <alignment horizontal="left" vertical="center" wrapText="1"/>
    </xf>
    <xf numFmtId="0" fontId="47" fillId="0" borderId="18" xfId="33" applyFont="1" applyBorder="1" applyAlignment="1">
      <alignment horizontal="left" vertical="center" wrapText="1"/>
    </xf>
    <xf numFmtId="4" fontId="45" fillId="0" borderId="18" xfId="33" applyNumberFormat="1" applyFont="1" applyBorder="1" applyAlignment="1">
      <alignment horizontal="right" vertical="center" wrapText="1"/>
    </xf>
    <xf numFmtId="0" fontId="6" fillId="7" borderId="18" xfId="33" applyFont="1" applyFill="1" applyBorder="1" applyAlignment="1">
      <alignment horizontal="left" vertical="center" wrapText="1"/>
    </xf>
    <xf numFmtId="0" fontId="11" fillId="7" borderId="18" xfId="33" applyFont="1" applyFill="1" applyBorder="1" applyAlignment="1">
      <alignment horizontal="left" vertical="center" wrapText="1"/>
    </xf>
    <xf numFmtId="4" fontId="39" fillId="7" borderId="18" xfId="33" applyNumberFormat="1" applyFont="1" applyFill="1" applyBorder="1" applyAlignment="1">
      <alignment horizontal="right" vertical="center" wrapText="1"/>
    </xf>
    <xf numFmtId="4" fontId="40" fillId="0" borderId="18" xfId="33" applyNumberFormat="1" applyFont="1" applyBorder="1" applyAlignment="1">
      <alignment vertical="center"/>
    </xf>
    <xf numFmtId="0" fontId="16" fillId="0" borderId="0" xfId="31"/>
    <xf numFmtId="0" fontId="51" fillId="0" borderId="0" xfId="31" applyFont="1" applyBorder="1" applyAlignment="1">
      <alignment horizontal="center" vertical="center" wrapText="1"/>
    </xf>
    <xf numFmtId="0" fontId="51" fillId="0" borderId="0" xfId="31" applyFont="1" applyBorder="1" applyAlignment="1">
      <alignment horizontal="left" vertical="center" wrapText="1"/>
    </xf>
    <xf numFmtId="0" fontId="52" fillId="0" borderId="29" xfId="31" applyFont="1" applyBorder="1" applyAlignment="1">
      <alignment vertical="center"/>
    </xf>
    <xf numFmtId="0" fontId="53" fillId="0" borderId="29" xfId="31" applyFont="1" applyBorder="1" applyAlignment="1">
      <alignment horizontal="center" vertical="center"/>
    </xf>
    <xf numFmtId="0" fontId="53" fillId="0" borderId="29" xfId="31" applyFont="1" applyBorder="1" applyAlignment="1">
      <alignment horizontal="center" vertical="center" wrapText="1"/>
    </xf>
    <xf numFmtId="0" fontId="27" fillId="7" borderId="18" xfId="31" applyFont="1" applyFill="1" applyBorder="1" applyAlignment="1">
      <alignment horizontal="left" vertical="top"/>
    </xf>
    <xf numFmtId="0" fontId="27" fillId="7" borderId="42" xfId="31" applyFont="1" applyFill="1" applyBorder="1" applyAlignment="1">
      <alignment horizontal="left" vertical="top"/>
    </xf>
    <xf numFmtId="0" fontId="27" fillId="7" borderId="60" xfId="31" applyFont="1" applyFill="1" applyBorder="1" applyAlignment="1">
      <alignment horizontal="left" vertical="top"/>
    </xf>
    <xf numFmtId="4" fontId="53" fillId="7" borderId="18" xfId="31" applyNumberFormat="1" applyFont="1" applyFill="1" applyBorder="1" applyAlignment="1">
      <alignment horizontal="right" vertical="top"/>
    </xf>
    <xf numFmtId="0" fontId="16" fillId="0" borderId="40" xfId="31" applyBorder="1"/>
    <xf numFmtId="0" fontId="54" fillId="8" borderId="18" xfId="31" applyFont="1" applyFill="1" applyBorder="1" applyAlignment="1">
      <alignment horizontal="left" vertical="top"/>
    </xf>
    <xf numFmtId="0" fontId="54" fillId="8" borderId="18" xfId="31" applyFont="1" applyFill="1" applyBorder="1" applyAlignment="1">
      <alignment horizontal="left" vertical="top" wrapText="1"/>
    </xf>
    <xf numFmtId="4" fontId="54" fillId="8" borderId="18" xfId="31" applyNumberFormat="1" applyFont="1" applyFill="1" applyBorder="1" applyAlignment="1">
      <alignment horizontal="right" vertical="top" wrapText="1"/>
    </xf>
    <xf numFmtId="0" fontId="16" fillId="0" borderId="15" xfId="31" applyBorder="1"/>
    <xf numFmtId="0" fontId="16" fillId="0" borderId="22" xfId="31" applyBorder="1" applyAlignment="1">
      <alignment horizontal="left"/>
    </xf>
    <xf numFmtId="0" fontId="54" fillId="0" borderId="18" xfId="31" quotePrefix="1" applyFont="1" applyBorder="1" applyAlignment="1">
      <alignment horizontal="left"/>
    </xf>
    <xf numFmtId="0" fontId="54" fillId="0" borderId="18" xfId="31" applyFont="1" applyBorder="1" applyAlignment="1">
      <alignment horizontal="left"/>
    </xf>
    <xf numFmtId="4" fontId="54" fillId="0" borderId="18" xfId="31" applyNumberFormat="1" applyFont="1" applyBorder="1" applyAlignment="1">
      <alignment horizontal="right" vertical="top"/>
    </xf>
    <xf numFmtId="0" fontId="16" fillId="0" borderId="15" xfId="31" applyBorder="1" applyAlignment="1">
      <alignment horizontal="left"/>
    </xf>
    <xf numFmtId="0" fontId="54" fillId="0" borderId="15" xfId="31" quotePrefix="1" applyFont="1" applyBorder="1" applyAlignment="1">
      <alignment horizontal="left"/>
    </xf>
    <xf numFmtId="0" fontId="55" fillId="0" borderId="15" xfId="31" applyFont="1" applyBorder="1" applyAlignment="1">
      <alignment horizontal="right"/>
    </xf>
    <xf numFmtId="4" fontId="55" fillId="0" borderId="15" xfId="31" applyNumberFormat="1" applyFont="1" applyBorder="1" applyAlignment="1">
      <alignment horizontal="right"/>
    </xf>
    <xf numFmtId="0" fontId="48" fillId="0" borderId="0" xfId="31" applyFont="1" applyBorder="1" applyAlignment="1">
      <alignment horizontal="left" vertical="center"/>
    </xf>
    <xf numFmtId="0" fontId="53" fillId="0" borderId="29" xfId="31" applyFont="1" applyBorder="1" applyAlignment="1">
      <alignment horizontal="left" vertical="center"/>
    </xf>
    <xf numFmtId="0" fontId="53" fillId="0" borderId="29" xfId="31" applyFont="1" applyBorder="1" applyAlignment="1">
      <alignment vertical="center"/>
    </xf>
    <xf numFmtId="0" fontId="27" fillId="7" borderId="18" xfId="31" applyFont="1" applyFill="1" applyBorder="1" applyAlignment="1">
      <alignment horizontal="left" vertical="top" wrapText="1"/>
    </xf>
    <xf numFmtId="4" fontId="27" fillId="7" borderId="60" xfId="31" applyNumberFormat="1" applyFont="1" applyFill="1" applyBorder="1" applyAlignment="1">
      <alignment horizontal="right" vertical="top"/>
    </xf>
    <xf numFmtId="0" fontId="16" fillId="0" borderId="29" xfId="31" applyBorder="1"/>
    <xf numFmtId="0" fontId="53" fillId="8" borderId="18" xfId="31" applyFont="1" applyFill="1" applyBorder="1" applyAlignment="1">
      <alignment horizontal="left" vertical="top" wrapText="1"/>
    </xf>
    <xf numFmtId="4" fontId="54" fillId="8" borderId="60" xfId="31" applyNumberFormat="1" applyFont="1" applyFill="1" applyBorder="1" applyAlignment="1">
      <alignment horizontal="right" vertical="top"/>
    </xf>
    <xf numFmtId="0" fontId="16" fillId="0" borderId="57" xfId="31" applyBorder="1"/>
    <xf numFmtId="0" fontId="54" fillId="9" borderId="29" xfId="31" applyFont="1" applyFill="1" applyBorder="1" applyAlignment="1">
      <alignment horizontal="left" vertical="top"/>
    </xf>
    <xf numFmtId="4" fontId="54" fillId="9" borderId="61" xfId="31" applyNumberFormat="1" applyFont="1" applyFill="1" applyBorder="1" applyAlignment="1">
      <alignment horizontal="right" vertical="top"/>
    </xf>
    <xf numFmtId="4" fontId="44" fillId="0" borderId="61" xfId="33" applyNumberFormat="1" applyFont="1" applyBorder="1" applyAlignment="1">
      <alignment horizontal="right" vertical="top" wrapText="1"/>
    </xf>
    <xf numFmtId="0" fontId="54" fillId="0" borderId="29" xfId="31" applyFont="1" applyBorder="1" applyAlignment="1">
      <alignment horizontal="left"/>
    </xf>
    <xf numFmtId="0" fontId="54" fillId="0" borderId="29" xfId="31" applyFont="1" applyBorder="1" applyAlignment="1">
      <alignment horizontal="left" wrapText="1"/>
    </xf>
    <xf numFmtId="4" fontId="54" fillId="0" borderId="61" xfId="31" applyNumberFormat="1" applyFont="1" applyBorder="1" applyAlignment="1">
      <alignment horizontal="right" wrapText="1"/>
    </xf>
    <xf numFmtId="0" fontId="45" fillId="0" borderId="18" xfId="33" applyFont="1" applyBorder="1" applyAlignment="1">
      <alignment horizontal="left" vertical="top" wrapText="1"/>
    </xf>
    <xf numFmtId="4" fontId="54" fillId="9" borderId="18" xfId="31" applyNumberFormat="1" applyFont="1" applyFill="1" applyBorder="1" applyAlignment="1">
      <alignment horizontal="right" vertical="top"/>
    </xf>
    <xf numFmtId="4" fontId="54" fillId="0" borderId="61" xfId="31" applyNumberFormat="1" applyFont="1" applyBorder="1" applyAlignment="1">
      <alignment horizontal="right" vertical="top" wrapText="1"/>
    </xf>
    <xf numFmtId="0" fontId="54" fillId="0" borderId="29" xfId="31" applyFont="1" applyFill="1" applyBorder="1" applyAlignment="1">
      <alignment horizontal="left" vertical="top"/>
    </xf>
    <xf numFmtId="4" fontId="54" fillId="0" borderId="61" xfId="31" applyNumberFormat="1" applyFont="1" applyFill="1" applyBorder="1" applyAlignment="1">
      <alignment horizontal="right" vertical="top"/>
    </xf>
    <xf numFmtId="0" fontId="54" fillId="0" borderId="57" xfId="31" applyFont="1" applyBorder="1" applyAlignment="1">
      <alignment horizontal="left"/>
    </xf>
    <xf numFmtId="4" fontId="54" fillId="0" borderId="61" xfId="31" applyNumberFormat="1" applyFont="1" applyBorder="1" applyAlignment="1">
      <alignment horizontal="right" vertical="top"/>
    </xf>
    <xf numFmtId="0" fontId="16" fillId="0" borderId="57" xfId="31" applyBorder="1" applyAlignment="1">
      <alignment horizontal="left"/>
    </xf>
    <xf numFmtId="0" fontId="16" fillId="8" borderId="18" xfId="31" applyFill="1" applyBorder="1" applyAlignment="1">
      <alignment horizontal="left" vertical="top"/>
    </xf>
    <xf numFmtId="0" fontId="16" fillId="0" borderId="29" xfId="31" applyBorder="1" applyAlignment="1">
      <alignment horizontal="left"/>
    </xf>
    <xf numFmtId="0" fontId="54" fillId="0" borderId="18" xfId="31" applyFont="1" applyBorder="1" applyAlignment="1">
      <alignment horizontal="left" wrapText="1"/>
    </xf>
    <xf numFmtId="4" fontId="54" fillId="0" borderId="60" xfId="31" applyNumberFormat="1" applyFont="1" applyBorder="1" applyAlignment="1">
      <alignment horizontal="right" vertical="top"/>
    </xf>
    <xf numFmtId="4" fontId="54" fillId="0" borderId="60" xfId="31" applyNumberFormat="1" applyFont="1" applyBorder="1" applyAlignment="1">
      <alignment horizontal="right" wrapText="1"/>
    </xf>
    <xf numFmtId="0" fontId="16" fillId="8" borderId="15" xfId="31" applyFill="1" applyBorder="1" applyAlignment="1">
      <alignment horizontal="left"/>
    </xf>
    <xf numFmtId="0" fontId="54" fillId="8" borderId="18" xfId="31" applyFont="1" applyFill="1" applyBorder="1" applyAlignment="1">
      <alignment horizontal="left"/>
    </xf>
    <xf numFmtId="0" fontId="54" fillId="8" borderId="18" xfId="31" applyFont="1" applyFill="1" applyBorder="1" applyAlignment="1">
      <alignment horizontal="left" wrapText="1"/>
    </xf>
    <xf numFmtId="0" fontId="54" fillId="8" borderId="15" xfId="31" applyFont="1" applyFill="1" applyBorder="1" applyAlignment="1">
      <alignment horizontal="left" vertical="top"/>
    </xf>
    <xf numFmtId="0" fontId="16" fillId="0" borderId="18" xfId="31" applyBorder="1" applyAlignment="1">
      <alignment horizontal="left"/>
    </xf>
    <xf numFmtId="4" fontId="27" fillId="0" borderId="32" xfId="31" applyNumberFormat="1" applyFont="1" applyBorder="1" applyAlignment="1">
      <alignment horizontal="right"/>
    </xf>
    <xf numFmtId="0" fontId="16" fillId="0" borderId="0" xfId="31" applyBorder="1"/>
    <xf numFmtId="0" fontId="16" fillId="0" borderId="0" xfId="31" applyBorder="1" applyAlignment="1">
      <alignment horizontal="left"/>
    </xf>
    <xf numFmtId="0" fontId="16" fillId="0" borderId="0" xfId="35"/>
    <xf numFmtId="0" fontId="23" fillId="0" borderId="0" xfId="34" applyFont="1"/>
    <xf numFmtId="0" fontId="7" fillId="0" borderId="0" xfId="34" applyFont="1" applyAlignment="1">
      <alignment vertical="top" wrapText="1"/>
    </xf>
    <xf numFmtId="43" fontId="57" fillId="0" borderId="69" xfId="35" applyNumberFormat="1" applyFont="1" applyFill="1" applyBorder="1" applyAlignment="1">
      <alignment horizontal="center" vertical="center" wrapText="1"/>
    </xf>
    <xf numFmtId="43" fontId="57" fillId="0" borderId="70" xfId="35" applyNumberFormat="1" applyFont="1" applyFill="1" applyBorder="1" applyAlignment="1">
      <alignment horizontal="center" vertical="center" wrapText="1"/>
    </xf>
    <xf numFmtId="0" fontId="58" fillId="0" borderId="29" xfId="35" applyFont="1" applyBorder="1" applyAlignment="1">
      <alignment horizontal="center" vertical="top" wrapText="1"/>
    </xf>
    <xf numFmtId="0" fontId="59" fillId="8" borderId="32" xfId="35" quotePrefix="1" applyFont="1" applyFill="1" applyBorder="1" applyAlignment="1">
      <alignment horizontal="center" vertical="top" wrapText="1"/>
    </xf>
    <xf numFmtId="0" fontId="58" fillId="8" borderId="32" xfId="35" applyFont="1" applyFill="1" applyBorder="1" applyAlignment="1">
      <alignment horizontal="center" vertical="top" wrapText="1"/>
    </xf>
    <xf numFmtId="0" fontId="59" fillId="8" borderId="32" xfId="35" applyFont="1" applyFill="1" applyBorder="1" applyAlignment="1">
      <alignment vertical="top" wrapText="1"/>
    </xf>
    <xf numFmtId="4" fontId="59" fillId="8" borderId="15" xfId="35" applyNumberFormat="1" applyFont="1" applyFill="1" applyBorder="1" applyAlignment="1">
      <alignment horizontal="right" vertical="top" wrapText="1"/>
    </xf>
    <xf numFmtId="4" fontId="59" fillId="8" borderId="32" xfId="35" applyNumberFormat="1" applyFont="1" applyFill="1" applyBorder="1" applyAlignment="1">
      <alignment horizontal="right" vertical="top" wrapText="1"/>
    </xf>
    <xf numFmtId="0" fontId="60" fillId="0" borderId="32" xfId="35" applyFont="1" applyBorder="1" applyAlignment="1">
      <alignment horizontal="center" vertical="top" wrapText="1"/>
    </xf>
    <xf numFmtId="0" fontId="60" fillId="0" borderId="32" xfId="35" applyFont="1" applyBorder="1" applyAlignment="1">
      <alignment vertical="top" wrapText="1"/>
    </xf>
    <xf numFmtId="4" fontId="60" fillId="0" borderId="15" xfId="35" applyNumberFormat="1" applyFont="1" applyBorder="1" applyAlignment="1">
      <alignment horizontal="right" vertical="top" wrapText="1"/>
    </xf>
    <xf numFmtId="4" fontId="60" fillId="0" borderId="32" xfId="35" applyNumberFormat="1" applyFont="1" applyBorder="1" applyAlignment="1">
      <alignment horizontal="right" vertical="top" wrapText="1"/>
    </xf>
    <xf numFmtId="4" fontId="60" fillId="0" borderId="57" xfId="35" applyNumberFormat="1" applyFont="1" applyBorder="1" applyAlignment="1">
      <alignment horizontal="right" vertical="top" wrapText="1"/>
    </xf>
    <xf numFmtId="4" fontId="60" fillId="0" borderId="31" xfId="35" applyNumberFormat="1" applyFont="1" applyBorder="1" applyAlignment="1">
      <alignment horizontal="right" vertical="top" wrapText="1"/>
    </xf>
    <xf numFmtId="4" fontId="60" fillId="0" borderId="60" xfId="35" applyNumberFormat="1" applyFont="1" applyBorder="1" applyAlignment="1">
      <alignment horizontal="right" vertical="top" wrapText="1"/>
    </xf>
    <xf numFmtId="4" fontId="60" fillId="0" borderId="18" xfId="35" applyNumberFormat="1" applyFont="1" applyBorder="1" applyAlignment="1">
      <alignment horizontal="right" vertical="top" wrapText="1"/>
    </xf>
    <xf numFmtId="0" fontId="58" fillId="0" borderId="31" xfId="35" applyFont="1" applyBorder="1" applyAlignment="1">
      <alignment horizontal="center" vertical="top" wrapText="1"/>
    </xf>
    <xf numFmtId="0" fontId="60" fillId="0" borderId="31" xfId="35" applyFont="1" applyBorder="1" applyAlignment="1">
      <alignment vertical="top" wrapText="1"/>
    </xf>
    <xf numFmtId="0" fontId="60" fillId="0" borderId="18" xfId="35" applyFont="1" applyBorder="1" applyAlignment="1">
      <alignment vertical="top" wrapText="1"/>
    </xf>
    <xf numFmtId="0" fontId="59" fillId="8" borderId="32" xfId="35" applyFont="1" applyFill="1" applyBorder="1" applyAlignment="1">
      <alignment horizontal="center" vertical="top" wrapText="1"/>
    </xf>
    <xf numFmtId="4" fontId="60" fillId="0" borderId="74" xfId="35" applyNumberFormat="1" applyFont="1" applyBorder="1" applyAlignment="1">
      <alignment horizontal="right" vertical="top" wrapText="1"/>
    </xf>
    <xf numFmtId="0" fontId="60" fillId="0" borderId="18" xfId="35" applyFont="1" applyBorder="1" applyAlignment="1">
      <alignment horizontal="center" vertical="top" wrapText="1"/>
    </xf>
    <xf numFmtId="4" fontId="60" fillId="0" borderId="61" xfId="35" applyNumberFormat="1" applyFont="1" applyBorder="1" applyAlignment="1">
      <alignment horizontal="right" vertical="top" wrapText="1"/>
    </xf>
    <xf numFmtId="0" fontId="60" fillId="0" borderId="31" xfId="35" applyFont="1" applyBorder="1" applyAlignment="1">
      <alignment horizontal="center" vertical="top" wrapText="1"/>
    </xf>
    <xf numFmtId="0" fontId="59" fillId="8" borderId="18" xfId="35" applyFont="1" applyFill="1" applyBorder="1" applyAlignment="1">
      <alignment horizontal="center" vertical="top" wrapText="1"/>
    </xf>
    <xf numFmtId="4" fontId="59" fillId="8" borderId="18" xfId="35" applyNumberFormat="1" applyFont="1" applyFill="1" applyBorder="1" applyAlignment="1">
      <alignment horizontal="right" vertical="top" wrapText="1"/>
    </xf>
    <xf numFmtId="4" fontId="59" fillId="8" borderId="60" xfId="35" applyNumberFormat="1" applyFont="1" applyFill="1" applyBorder="1" applyAlignment="1">
      <alignment horizontal="right" vertical="top" wrapText="1"/>
    </xf>
    <xf numFmtId="0" fontId="59" fillId="0" borderId="31" xfId="35" applyFont="1" applyBorder="1" applyAlignment="1">
      <alignment horizontal="center" vertical="top" wrapText="1"/>
    </xf>
    <xf numFmtId="0" fontId="59" fillId="0" borderId="32" xfId="35" applyFont="1" applyBorder="1" applyAlignment="1">
      <alignment horizontal="center" vertical="top" wrapText="1"/>
    </xf>
    <xf numFmtId="4" fontId="59" fillId="0" borderId="18" xfId="35" applyNumberFormat="1" applyFont="1" applyBorder="1" applyAlignment="1">
      <alignment horizontal="right" vertical="top" wrapText="1"/>
    </xf>
    <xf numFmtId="4" fontId="59" fillId="0" borderId="61" xfId="35" applyNumberFormat="1" applyFont="1" applyBorder="1" applyAlignment="1">
      <alignment horizontal="right" vertical="top" wrapText="1"/>
    </xf>
    <xf numFmtId="4" fontId="59" fillId="0" borderId="57" xfId="35" applyNumberFormat="1" applyFont="1" applyBorder="1" applyAlignment="1">
      <alignment horizontal="right" vertical="top" wrapText="1"/>
    </xf>
    <xf numFmtId="4" fontId="59" fillId="0" borderId="31" xfId="35" applyNumberFormat="1" applyFont="1" applyBorder="1" applyAlignment="1">
      <alignment horizontal="right" vertical="top" wrapText="1"/>
    </xf>
    <xf numFmtId="0" fontId="59" fillId="0" borderId="31" xfId="35" applyFont="1" applyBorder="1" applyAlignment="1">
      <alignment vertical="top" wrapText="1"/>
    </xf>
    <xf numFmtId="0" fontId="59" fillId="8" borderId="18" xfId="35" applyFont="1" applyFill="1" applyBorder="1" applyAlignment="1">
      <alignment vertical="top" wrapText="1"/>
    </xf>
    <xf numFmtId="0" fontId="62" fillId="0" borderId="18" xfId="33" applyFont="1" applyBorder="1" applyAlignment="1">
      <alignment horizontal="left" vertical="top" wrapText="1"/>
    </xf>
    <xf numFmtId="4" fontId="59" fillId="0" borderId="29" xfId="35" applyNumberFormat="1" applyFont="1" applyBorder="1" applyAlignment="1">
      <alignment horizontal="right" vertical="top" wrapText="1"/>
    </xf>
    <xf numFmtId="0" fontId="59" fillId="0" borderId="15" xfId="35" applyFont="1" applyBorder="1" applyAlignment="1">
      <alignment horizontal="center" vertical="top" wrapText="1"/>
    </xf>
    <xf numFmtId="0" fontId="59" fillId="0" borderId="32" xfId="35" applyFont="1" applyBorder="1" applyAlignment="1">
      <alignment vertical="top" wrapText="1"/>
    </xf>
    <xf numFmtId="4" fontId="59" fillId="0" borderId="15" xfId="35" applyNumberFormat="1" applyFont="1" applyBorder="1" applyAlignment="1">
      <alignment horizontal="right" vertical="top" wrapText="1"/>
    </xf>
    <xf numFmtId="4" fontId="59" fillId="0" borderId="32" xfId="35" applyNumberFormat="1" applyFont="1" applyBorder="1" applyAlignment="1">
      <alignment horizontal="right" vertical="top" wrapText="1"/>
    </xf>
    <xf numFmtId="0" fontId="58" fillId="8" borderId="60" xfId="35" applyFont="1" applyFill="1" applyBorder="1" applyAlignment="1">
      <alignment horizontal="center" vertical="top" wrapText="1"/>
    </xf>
    <xf numFmtId="0" fontId="64" fillId="8" borderId="60" xfId="35" applyFont="1" applyFill="1" applyBorder="1" applyAlignment="1">
      <alignment vertical="top" wrapText="1"/>
    </xf>
    <xf numFmtId="4" fontId="58" fillId="0" borderId="32" xfId="35" applyNumberFormat="1" applyFont="1" applyBorder="1" applyAlignment="1">
      <alignment horizontal="right" vertical="top" wrapText="1"/>
    </xf>
    <xf numFmtId="0" fontId="59" fillId="13" borderId="15" xfId="35" applyFont="1" applyFill="1" applyBorder="1" applyAlignment="1">
      <alignment horizontal="center" vertical="top" wrapText="1"/>
    </xf>
    <xf numFmtId="0" fontId="60" fillId="13" borderId="32" xfId="35" applyFont="1" applyFill="1" applyBorder="1" applyAlignment="1">
      <alignment horizontal="center" vertical="top" wrapText="1"/>
    </xf>
    <xf numFmtId="0" fontId="60" fillId="13" borderId="32" xfId="35" applyFont="1" applyFill="1" applyBorder="1" applyAlignment="1">
      <alignment vertical="top" wrapText="1"/>
    </xf>
    <xf numFmtId="4" fontId="60" fillId="13" borderId="15" xfId="35" applyNumberFormat="1" applyFont="1" applyFill="1" applyBorder="1" applyAlignment="1">
      <alignment horizontal="right" vertical="top" wrapText="1"/>
    </xf>
    <xf numFmtId="4" fontId="60" fillId="13" borderId="32" xfId="35" applyNumberFormat="1" applyFont="1" applyFill="1" applyBorder="1" applyAlignment="1">
      <alignment horizontal="right" vertical="top" wrapText="1"/>
    </xf>
    <xf numFmtId="4" fontId="60" fillId="0" borderId="29" xfId="35" applyNumberFormat="1" applyFont="1" applyBorder="1" applyAlignment="1">
      <alignment horizontal="right" vertical="top" wrapText="1"/>
    </xf>
    <xf numFmtId="0" fontId="58" fillId="0" borderId="15" xfId="35" applyFont="1" applyBorder="1" applyAlignment="1">
      <alignment horizontal="center" vertical="top" wrapText="1"/>
    </xf>
    <xf numFmtId="0" fontId="58" fillId="8" borderId="18" xfId="35" applyFont="1" applyFill="1" applyBorder="1" applyAlignment="1">
      <alignment horizontal="center" vertical="top" wrapText="1"/>
    </xf>
    <xf numFmtId="4" fontId="60" fillId="8" borderId="18" xfId="35" applyNumberFormat="1" applyFont="1" applyFill="1" applyBorder="1" applyAlignment="1">
      <alignment horizontal="right" vertical="top" wrapText="1"/>
    </xf>
    <xf numFmtId="4" fontId="60" fillId="8" borderId="60" xfId="35" applyNumberFormat="1" applyFont="1" applyFill="1" applyBorder="1" applyAlignment="1">
      <alignment horizontal="right" vertical="top" wrapText="1"/>
    </xf>
    <xf numFmtId="0" fontId="59" fillId="8" borderId="60" xfId="35" applyFont="1" applyFill="1" applyBorder="1" applyAlignment="1">
      <alignment vertical="top" wrapText="1"/>
    </xf>
    <xf numFmtId="4" fontId="60" fillId="8" borderId="32" xfId="35" applyNumberFormat="1" applyFont="1" applyFill="1" applyBorder="1" applyAlignment="1">
      <alignment horizontal="right" vertical="top" wrapText="1"/>
    </xf>
    <xf numFmtId="4" fontId="64" fillId="9" borderId="32" xfId="35" applyNumberFormat="1" applyFont="1" applyFill="1" applyBorder="1" applyAlignment="1">
      <alignment horizontal="right" vertical="top" wrapText="1"/>
    </xf>
    <xf numFmtId="4" fontId="57" fillId="9" borderId="32" xfId="35" applyNumberFormat="1" applyFont="1" applyFill="1" applyBorder="1" applyAlignment="1">
      <alignment horizontal="right" vertical="top" wrapText="1"/>
    </xf>
    <xf numFmtId="4" fontId="57" fillId="9" borderId="57" xfId="35" applyNumberFormat="1" applyFont="1" applyFill="1" applyBorder="1" applyAlignment="1">
      <alignment horizontal="right" vertical="top" wrapText="1"/>
    </xf>
    <xf numFmtId="4" fontId="57" fillId="9" borderId="31" xfId="35" applyNumberFormat="1" applyFont="1" applyFill="1" applyBorder="1" applyAlignment="1">
      <alignment horizontal="right" vertical="top" wrapText="1"/>
    </xf>
    <xf numFmtId="0" fontId="60" fillId="0" borderId="60" xfId="35" applyFont="1" applyBorder="1" applyAlignment="1">
      <alignment vertical="top" wrapText="1"/>
    </xf>
    <xf numFmtId="0" fontId="60" fillId="9" borderId="32" xfId="35" applyFont="1" applyFill="1" applyBorder="1" applyAlignment="1">
      <alignment horizontal="center" vertical="top" wrapText="1"/>
    </xf>
    <xf numFmtId="4" fontId="59" fillId="8" borderId="15" xfId="36" applyNumberFormat="1" applyFont="1" applyFill="1" applyBorder="1" applyAlignment="1">
      <alignment horizontal="right" vertical="top" wrapText="1"/>
    </xf>
    <xf numFmtId="0" fontId="60" fillId="0" borderId="22" xfId="35" applyFont="1" applyBorder="1" applyAlignment="1">
      <alignment vertical="top" wrapText="1"/>
    </xf>
    <xf numFmtId="4" fontId="59" fillId="8" borderId="18" xfId="36" applyNumberFormat="1" applyFont="1" applyFill="1" applyBorder="1" applyAlignment="1">
      <alignment horizontal="right" vertical="top" wrapText="1"/>
    </xf>
    <xf numFmtId="0" fontId="58" fillId="8" borderId="15" xfId="35" applyFont="1" applyFill="1" applyBorder="1" applyAlignment="1">
      <alignment horizontal="center" vertical="top" wrapText="1"/>
    </xf>
    <xf numFmtId="0" fontId="60" fillId="0" borderId="57" xfId="35" applyFont="1" applyBorder="1" applyAlignment="1">
      <alignment horizontal="center" vertical="top" wrapText="1"/>
    </xf>
    <xf numFmtId="0" fontId="16" fillId="0" borderId="18" xfId="35" applyBorder="1" applyAlignment="1">
      <alignment vertical="center"/>
    </xf>
    <xf numFmtId="0" fontId="27" fillId="0" borderId="0" xfId="35" applyFont="1" applyBorder="1" applyAlignment="1">
      <alignment vertical="center"/>
    </xf>
    <xf numFmtId="0" fontId="16" fillId="0" borderId="0" xfId="35" applyBorder="1" applyAlignment="1">
      <alignment vertical="center"/>
    </xf>
    <xf numFmtId="0" fontId="26" fillId="0" borderId="0" xfId="35" applyFont="1" applyBorder="1" applyAlignment="1">
      <alignment horizontal="right" vertical="center"/>
    </xf>
    <xf numFmtId="4" fontId="26" fillId="0" borderId="0" xfId="35" applyNumberFormat="1" applyFont="1" applyBorder="1" applyAlignment="1">
      <alignment vertical="center"/>
    </xf>
    <xf numFmtId="4" fontId="59" fillId="8" borderId="32" xfId="35" applyNumberFormat="1" applyFont="1" applyFill="1" applyBorder="1" applyAlignment="1">
      <alignment vertical="top" wrapText="1"/>
    </xf>
    <xf numFmtId="4" fontId="59" fillId="8" borderId="79" xfId="35" applyNumberFormat="1" applyFont="1" applyFill="1" applyBorder="1" applyAlignment="1">
      <alignment vertical="top" wrapText="1"/>
    </xf>
    <xf numFmtId="4" fontId="59" fillId="8" borderId="18" xfId="35" applyNumberFormat="1" applyFont="1" applyFill="1" applyBorder="1" applyAlignment="1">
      <alignment vertical="top" wrapText="1"/>
    </xf>
    <xf numFmtId="0" fontId="27" fillId="0" borderId="0" xfId="35" applyFont="1" applyAlignment="1">
      <alignment vertical="center"/>
    </xf>
    <xf numFmtId="0" fontId="57" fillId="7" borderId="18" xfId="35" applyFont="1" applyFill="1" applyBorder="1" applyAlignment="1">
      <alignment horizontal="center" vertical="top" wrapText="1"/>
    </xf>
    <xf numFmtId="4" fontId="70" fillId="8" borderId="60" xfId="35" applyNumberFormat="1" applyFont="1" applyFill="1" applyBorder="1" applyAlignment="1">
      <alignment horizontal="right" vertical="top" wrapText="1"/>
    </xf>
    <xf numFmtId="0" fontId="58" fillId="7" borderId="18" xfId="35" applyFont="1" applyFill="1" applyBorder="1" applyAlignment="1">
      <alignment horizontal="center" vertical="top" wrapText="1"/>
    </xf>
    <xf numFmtId="0" fontId="57" fillId="7" borderId="18" xfId="35" applyFont="1" applyFill="1" applyBorder="1" applyAlignment="1">
      <alignment vertical="top" wrapText="1"/>
    </xf>
    <xf numFmtId="4" fontId="70" fillId="8" borderId="32" xfId="36" applyNumberFormat="1" applyFont="1" applyFill="1" applyBorder="1" applyAlignment="1">
      <alignment horizontal="right" vertical="top" wrapText="1"/>
    </xf>
    <xf numFmtId="0" fontId="17" fillId="0" borderId="0" xfId="33"/>
    <xf numFmtId="0" fontId="12" fillId="0" borderId="0" xfId="33" applyFont="1"/>
    <xf numFmtId="0" fontId="7" fillId="0" borderId="0" xfId="33" applyFont="1"/>
    <xf numFmtId="0" fontId="50" fillId="0" borderId="0" xfId="33" applyFont="1"/>
    <xf numFmtId="0" fontId="3" fillId="0" borderId="0" xfId="4" applyAlignment="1"/>
    <xf numFmtId="0" fontId="7" fillId="0" borderId="0" xfId="34" applyFont="1" applyAlignment="1">
      <alignment horizontal="left" vertical="top" wrapText="1"/>
    </xf>
    <xf numFmtId="0" fontId="57" fillId="7" borderId="90" xfId="35" applyFont="1" applyFill="1" applyBorder="1" applyAlignment="1">
      <alignment horizontal="center" vertical="center" wrapText="1"/>
    </xf>
    <xf numFmtId="0" fontId="57" fillId="7" borderId="67" xfId="35" applyFont="1" applyFill="1" applyBorder="1" applyAlignment="1">
      <alignment horizontal="center" vertical="center" wrapText="1"/>
    </xf>
    <xf numFmtId="0" fontId="57" fillId="7" borderId="67" xfId="35" applyFont="1" applyFill="1" applyBorder="1" applyAlignment="1">
      <alignment horizontal="left" vertical="center" wrapText="1"/>
    </xf>
    <xf numFmtId="167" fontId="57" fillId="7" borderId="67" xfId="35" applyNumberFormat="1" applyFont="1" applyFill="1" applyBorder="1" applyAlignment="1">
      <alignment horizontal="right" vertical="center" wrapText="1"/>
    </xf>
    <xf numFmtId="0" fontId="57" fillId="0" borderId="17" xfId="35" applyFont="1" applyFill="1" applyBorder="1" applyAlignment="1">
      <alignment horizontal="center" vertical="center" wrapText="1"/>
    </xf>
    <xf numFmtId="0" fontId="64" fillId="13" borderId="18" xfId="35" applyFont="1" applyFill="1" applyBorder="1" applyAlignment="1">
      <alignment horizontal="center" vertical="center" wrapText="1"/>
    </xf>
    <xf numFmtId="0" fontId="64" fillId="13" borderId="60" xfId="35" applyFont="1" applyFill="1" applyBorder="1" applyAlignment="1">
      <alignment horizontal="center" vertical="center" wrapText="1"/>
    </xf>
    <xf numFmtId="0" fontId="64" fillId="13" borderId="60" xfId="35" applyFont="1" applyFill="1" applyBorder="1" applyAlignment="1">
      <alignment horizontal="left" vertical="center" wrapText="1"/>
    </xf>
    <xf numFmtId="167" fontId="64" fillId="13" borderId="60" xfId="35" applyNumberFormat="1" applyFont="1" applyFill="1" applyBorder="1" applyAlignment="1">
      <alignment horizontal="right" vertical="center" wrapText="1"/>
    </xf>
    <xf numFmtId="0" fontId="64" fillId="0" borderId="31" xfId="35" applyFont="1" applyFill="1" applyBorder="1" applyAlignment="1">
      <alignment horizontal="center" vertical="center" wrapText="1"/>
    </xf>
    <xf numFmtId="0" fontId="64" fillId="0" borderId="18" xfId="35" applyFont="1" applyFill="1" applyBorder="1" applyAlignment="1">
      <alignment horizontal="center" vertical="center" wrapText="1"/>
    </xf>
    <xf numFmtId="167" fontId="64" fillId="0" borderId="60" xfId="35" applyNumberFormat="1" applyFont="1" applyFill="1" applyBorder="1" applyAlignment="1">
      <alignment horizontal="right" vertical="center" wrapText="1"/>
    </xf>
    <xf numFmtId="167" fontId="64" fillId="0" borderId="32" xfId="35" applyNumberFormat="1" applyFont="1" applyFill="1" applyBorder="1" applyAlignment="1">
      <alignment horizontal="right" vertical="center" wrapText="1"/>
    </xf>
    <xf numFmtId="0" fontId="57" fillId="7" borderId="18" xfId="35" applyFont="1" applyFill="1" applyBorder="1" applyAlignment="1">
      <alignment horizontal="center" vertical="center" wrapText="1"/>
    </xf>
    <xf numFmtId="0" fontId="64" fillId="7" borderId="18" xfId="35" applyFont="1" applyFill="1" applyBorder="1" applyAlignment="1">
      <alignment horizontal="center" vertical="center" wrapText="1"/>
    </xf>
    <xf numFmtId="0" fontId="64" fillId="7" borderId="60" xfId="35" applyFont="1" applyFill="1" applyBorder="1" applyAlignment="1">
      <alignment horizontal="left" vertical="center" wrapText="1"/>
    </xf>
    <xf numFmtId="167" fontId="64" fillId="7" borderId="18" xfId="35" applyNumberFormat="1" applyFont="1" applyFill="1" applyBorder="1" applyAlignment="1">
      <alignment horizontal="right" vertical="center" wrapText="1"/>
    </xf>
    <xf numFmtId="0" fontId="64" fillId="13" borderId="31" xfId="35" applyFont="1" applyFill="1" applyBorder="1" applyAlignment="1">
      <alignment horizontal="left" vertical="center" wrapText="1"/>
    </xf>
    <xf numFmtId="167" fontId="64" fillId="13" borderId="18" xfId="35" applyNumberFormat="1" applyFont="1" applyFill="1" applyBorder="1" applyAlignment="1">
      <alignment horizontal="right" vertical="center" wrapText="1"/>
    </xf>
    <xf numFmtId="167" fontId="64" fillId="13" borderId="31" xfId="35" applyNumberFormat="1" applyFont="1" applyFill="1" applyBorder="1" applyAlignment="1">
      <alignment horizontal="right" vertical="center" wrapText="1"/>
    </xf>
    <xf numFmtId="0" fontId="64" fillId="0" borderId="61" xfId="35" applyFont="1" applyFill="1" applyBorder="1" applyAlignment="1">
      <alignment horizontal="left" vertical="center" wrapText="1"/>
    </xf>
    <xf numFmtId="167" fontId="64" fillId="0" borderId="31" xfId="35" applyNumberFormat="1" applyFont="1" applyFill="1" applyBorder="1" applyAlignment="1">
      <alignment horizontal="right" vertical="center" wrapText="1"/>
    </xf>
    <xf numFmtId="167" fontId="64" fillId="0" borderId="29" xfId="35" applyNumberFormat="1" applyFont="1" applyFill="1" applyBorder="1" applyAlignment="1">
      <alignment horizontal="right" vertical="center" wrapText="1"/>
    </xf>
    <xf numFmtId="167" fontId="64" fillId="0" borderId="61" xfId="35" applyNumberFormat="1" applyFont="1" applyFill="1" applyBorder="1" applyAlignment="1">
      <alignment horizontal="right" vertical="center" wrapText="1"/>
    </xf>
    <xf numFmtId="0" fontId="64" fillId="7" borderId="18" xfId="35" applyFont="1" applyFill="1" applyBorder="1" applyAlignment="1">
      <alignment horizontal="left" vertical="center" wrapText="1"/>
    </xf>
    <xf numFmtId="0" fontId="64" fillId="13" borderId="18" xfId="35" applyFont="1" applyFill="1" applyBorder="1" applyAlignment="1">
      <alignment horizontal="left" vertical="center" wrapText="1"/>
    </xf>
    <xf numFmtId="0" fontId="64" fillId="0" borderId="17" xfId="35" applyFont="1" applyFill="1" applyBorder="1" applyAlignment="1">
      <alignment horizontal="center" vertical="center" wrapText="1"/>
    </xf>
    <xf numFmtId="0" fontId="64" fillId="0" borderId="31" xfId="35" applyFont="1" applyFill="1" applyBorder="1" applyAlignment="1">
      <alignment horizontal="left" vertical="center" wrapText="1"/>
    </xf>
    <xf numFmtId="0" fontId="75" fillId="7" borderId="18" xfId="35" applyFont="1" applyFill="1" applyBorder="1" applyAlignment="1">
      <alignment horizontal="center" vertical="center" wrapText="1"/>
    </xf>
    <xf numFmtId="0" fontId="57" fillId="7" borderId="18" xfId="35" applyFont="1" applyFill="1" applyBorder="1" applyAlignment="1">
      <alignment horizontal="left" vertical="center" wrapText="1"/>
    </xf>
    <xf numFmtId="167" fontId="57" fillId="7" borderId="18" xfId="35" applyNumberFormat="1" applyFont="1" applyFill="1" applyBorder="1" applyAlignment="1">
      <alignment horizontal="right" vertical="center" wrapText="1"/>
    </xf>
    <xf numFmtId="0" fontId="75" fillId="0" borderId="17" xfId="35" applyFont="1" applyFill="1" applyBorder="1" applyAlignment="1">
      <alignment horizontal="center" vertical="center" wrapText="1"/>
    </xf>
    <xf numFmtId="167" fontId="64" fillId="0" borderId="18" xfId="35" applyNumberFormat="1" applyFont="1" applyFill="1" applyBorder="1" applyAlignment="1">
      <alignment horizontal="right" vertical="center" wrapText="1"/>
    </xf>
    <xf numFmtId="0" fontId="64" fillId="0" borderId="32" xfId="35" applyFont="1" applyFill="1" applyBorder="1" applyAlignment="1">
      <alignment horizontal="center" vertical="center" wrapText="1"/>
    </xf>
    <xf numFmtId="167" fontId="64" fillId="0" borderId="17" xfId="35" applyNumberFormat="1" applyFont="1" applyFill="1" applyBorder="1" applyAlignment="1">
      <alignment horizontal="right" vertical="center" wrapText="1"/>
    </xf>
    <xf numFmtId="0" fontId="64" fillId="0" borderId="15" xfId="35" applyFont="1" applyFill="1" applyBorder="1" applyAlignment="1">
      <alignment horizontal="center" vertical="center" wrapText="1"/>
    </xf>
    <xf numFmtId="0" fontId="64" fillId="13" borderId="15" xfId="35" applyFont="1" applyFill="1" applyBorder="1" applyAlignment="1">
      <alignment horizontal="center" vertical="center" wrapText="1"/>
    </xf>
    <xf numFmtId="0" fontId="64" fillId="13" borderId="32" xfId="35" applyFont="1" applyFill="1" applyBorder="1" applyAlignment="1">
      <alignment horizontal="center" vertical="center" wrapText="1"/>
    </xf>
    <xf numFmtId="0" fontId="64" fillId="13" borderId="32" xfId="35" applyFont="1" applyFill="1" applyBorder="1" applyAlignment="1">
      <alignment horizontal="left" vertical="center" wrapText="1"/>
    </xf>
    <xf numFmtId="167" fontId="64" fillId="13" borderId="32" xfId="35" applyNumberFormat="1" applyFont="1" applyFill="1" applyBorder="1" applyAlignment="1">
      <alignment horizontal="right" vertical="center" wrapText="1"/>
    </xf>
    <xf numFmtId="0" fontId="58" fillId="0" borderId="17" xfId="35" applyFont="1" applyBorder="1" applyAlignment="1">
      <alignment horizontal="center" vertical="top" wrapText="1"/>
    </xf>
    <xf numFmtId="0" fontId="59" fillId="15" borderId="18" xfId="35" applyFont="1" applyFill="1" applyBorder="1" applyAlignment="1">
      <alignment horizontal="center" vertical="top" wrapText="1"/>
    </xf>
    <xf numFmtId="0" fontId="58" fillId="15" borderId="60" xfId="35" applyFont="1" applyFill="1" applyBorder="1" applyAlignment="1">
      <alignment horizontal="center" vertical="top" wrapText="1"/>
    </xf>
    <xf numFmtId="0" fontId="59" fillId="15" borderId="60" xfId="35" applyFont="1" applyFill="1" applyBorder="1" applyAlignment="1">
      <alignment vertical="top" wrapText="1"/>
    </xf>
    <xf numFmtId="4" fontId="59" fillId="15" borderId="60" xfId="35" applyNumberFormat="1" applyFont="1" applyFill="1" applyBorder="1" applyAlignment="1">
      <alignment horizontal="right" vertical="top" wrapText="1"/>
    </xf>
    <xf numFmtId="0" fontId="59" fillId="15" borderId="32" xfId="35" applyFont="1" applyFill="1" applyBorder="1" applyAlignment="1">
      <alignment horizontal="center" vertical="top" wrapText="1"/>
    </xf>
    <xf numFmtId="0" fontId="58" fillId="15" borderId="32" xfId="35" applyFont="1" applyFill="1" applyBorder="1" applyAlignment="1">
      <alignment horizontal="center" vertical="top" wrapText="1"/>
    </xf>
    <xf numFmtId="0" fontId="59" fillId="15" borderId="32" xfId="35" applyFont="1" applyFill="1" applyBorder="1" applyAlignment="1">
      <alignment vertical="top" wrapText="1"/>
    </xf>
    <xf numFmtId="4" fontId="59" fillId="15" borderId="32" xfId="36" applyNumberFormat="1" applyFont="1" applyFill="1" applyBorder="1" applyAlignment="1">
      <alignment horizontal="right" vertical="top" wrapText="1"/>
    </xf>
    <xf numFmtId="4" fontId="59" fillId="15" borderId="32" xfId="35" applyNumberFormat="1" applyFont="1" applyFill="1" applyBorder="1" applyAlignment="1">
      <alignment horizontal="right" vertical="top" wrapText="1"/>
    </xf>
    <xf numFmtId="4" fontId="60" fillId="0" borderId="17" xfId="35" applyNumberFormat="1" applyFont="1" applyBorder="1" applyAlignment="1">
      <alignment horizontal="right" vertical="top" wrapText="1"/>
    </xf>
    <xf numFmtId="0" fontId="58" fillId="0" borderId="17" xfId="35" applyFont="1" applyBorder="1" applyAlignment="1">
      <alignment vertical="top" wrapText="1"/>
    </xf>
    <xf numFmtId="0" fontId="59" fillId="13" borderId="60" xfId="35" applyFont="1" applyFill="1" applyBorder="1" applyAlignment="1">
      <alignment horizontal="center" vertical="center" wrapText="1"/>
    </xf>
    <xf numFmtId="0" fontId="59" fillId="13" borderId="32" xfId="35" applyFont="1" applyFill="1" applyBorder="1" applyAlignment="1">
      <alignment horizontal="center" vertical="center" wrapText="1"/>
    </xf>
    <xf numFmtId="0" fontId="64" fillId="13" borderId="32" xfId="35" applyFont="1" applyFill="1" applyBorder="1" applyAlignment="1">
      <alignment vertical="center" wrapText="1"/>
    </xf>
    <xf numFmtId="4" fontId="64" fillId="13" borderId="32" xfId="35" applyNumberFormat="1" applyFont="1" applyFill="1" applyBorder="1" applyAlignment="1">
      <alignment horizontal="right" vertical="center" wrapText="1"/>
    </xf>
    <xf numFmtId="0" fontId="3" fillId="9" borderId="0" xfId="4" applyFill="1" applyAlignment="1"/>
    <xf numFmtId="0" fontId="58" fillId="9" borderId="61" xfId="35" applyFont="1" applyFill="1" applyBorder="1" applyAlignment="1">
      <alignment horizontal="center" vertical="center" wrapText="1"/>
    </xf>
    <xf numFmtId="4" fontId="64" fillId="9" borderId="32" xfId="35" applyNumberFormat="1" applyFont="1" applyFill="1" applyBorder="1" applyAlignment="1">
      <alignment horizontal="right" vertical="center" wrapText="1"/>
    </xf>
    <xf numFmtId="0" fontId="58" fillId="9" borderId="17" xfId="35" applyFont="1" applyFill="1" applyBorder="1" applyAlignment="1">
      <alignment horizontal="center" vertical="center" wrapText="1"/>
    </xf>
    <xf numFmtId="4" fontId="57" fillId="9" borderId="31" xfId="35" applyNumberFormat="1" applyFont="1" applyFill="1" applyBorder="1" applyAlignment="1">
      <alignment horizontal="right" vertical="center" wrapText="1"/>
    </xf>
    <xf numFmtId="0" fontId="16" fillId="0" borderId="87" xfId="35" applyBorder="1" applyAlignment="1">
      <alignment vertical="center"/>
    </xf>
    <xf numFmtId="0" fontId="26" fillId="0" borderId="87" xfId="35" applyFont="1" applyBorder="1" applyAlignment="1">
      <alignment horizontal="right" vertical="center"/>
    </xf>
    <xf numFmtId="4" fontId="26" fillId="0" borderId="87" xfId="35" applyNumberFormat="1" applyFont="1" applyBorder="1" applyAlignment="1">
      <alignment vertical="center"/>
    </xf>
    <xf numFmtId="0" fontId="3" fillId="0" borderId="0" xfId="23" applyFont="1" applyAlignment="1">
      <alignment vertical="top"/>
    </xf>
    <xf numFmtId="0" fontId="7" fillId="0" borderId="0" xfId="23" applyFont="1" applyAlignment="1">
      <alignment vertical="top"/>
    </xf>
    <xf numFmtId="0" fontId="12" fillId="0" borderId="0" xfId="23"/>
    <xf numFmtId="0" fontId="7" fillId="0" borderId="0" xfId="23" applyFont="1" applyAlignment="1">
      <alignment horizontal="left" vertical="top"/>
    </xf>
    <xf numFmtId="0" fontId="3" fillId="0" borderId="0" xfId="23" applyFont="1"/>
    <xf numFmtId="0" fontId="12" fillId="0" borderId="0" xfId="23" applyBorder="1"/>
    <xf numFmtId="0" fontId="76" fillId="0" borderId="0" xfId="23" applyFont="1" applyBorder="1" applyAlignment="1">
      <alignment vertical="center"/>
    </xf>
    <xf numFmtId="49" fontId="10" fillId="16" borderId="91" xfId="23" applyNumberFormat="1" applyFont="1" applyFill="1" applyBorder="1" applyAlignment="1" applyProtection="1">
      <alignment horizontal="center" vertical="center" wrapText="1"/>
      <protection locked="0"/>
    </xf>
    <xf numFmtId="49" fontId="10" fillId="16" borderId="52" xfId="23" applyNumberFormat="1" applyFont="1" applyFill="1" applyBorder="1" applyAlignment="1" applyProtection="1">
      <alignment horizontal="center" vertical="center" wrapText="1"/>
      <protection locked="0"/>
    </xf>
    <xf numFmtId="0" fontId="3" fillId="0" borderId="18" xfId="23" applyFont="1" applyBorder="1" applyAlignment="1">
      <alignment horizontal="center" vertical="center" wrapText="1"/>
    </xf>
    <xf numFmtId="49" fontId="77" fillId="17" borderId="50" xfId="23" applyNumberFormat="1" applyFont="1" applyFill="1" applyBorder="1" applyAlignment="1" applyProtection="1">
      <alignment horizontal="center" vertical="center" wrapText="1"/>
      <protection locked="0"/>
    </xf>
    <xf numFmtId="49" fontId="77" fillId="17" borderId="14" xfId="23" applyNumberFormat="1" applyFont="1" applyFill="1" applyBorder="1" applyAlignment="1" applyProtection="1">
      <alignment horizontal="center" vertical="center" wrapText="1"/>
      <protection locked="0"/>
    </xf>
    <xf numFmtId="49" fontId="78" fillId="17" borderId="14" xfId="23" applyNumberFormat="1" applyFont="1" applyFill="1" applyBorder="1" applyAlignment="1" applyProtection="1">
      <alignment horizontal="center" vertical="center" wrapText="1"/>
      <protection locked="0"/>
    </xf>
    <xf numFmtId="49" fontId="77" fillId="17" borderId="14" xfId="23" applyNumberFormat="1" applyFont="1" applyFill="1" applyBorder="1" applyAlignment="1" applyProtection="1">
      <alignment horizontal="left" vertical="center" wrapText="1"/>
      <protection locked="0"/>
    </xf>
    <xf numFmtId="168" fontId="77" fillId="17" borderId="44" xfId="23" applyNumberFormat="1" applyFont="1" applyFill="1" applyBorder="1" applyAlignment="1" applyProtection="1">
      <alignment horizontal="right" vertical="center" wrapText="1"/>
      <protection locked="0"/>
    </xf>
    <xf numFmtId="0" fontId="32" fillId="0" borderId="0" xfId="23" applyFont="1"/>
    <xf numFmtId="49" fontId="77" fillId="18" borderId="14" xfId="23" applyNumberFormat="1" applyFont="1" applyFill="1" applyBorder="1" applyAlignment="1" applyProtection="1">
      <alignment horizontal="center" vertical="center" wrapText="1"/>
      <protection locked="0"/>
    </xf>
    <xf numFmtId="49" fontId="78" fillId="18" borderId="2" xfId="23" applyNumberFormat="1" applyFont="1" applyFill="1" applyBorder="1" applyAlignment="1" applyProtection="1">
      <alignment horizontal="center" vertical="center" wrapText="1"/>
      <protection locked="0"/>
    </xf>
    <xf numFmtId="49" fontId="77" fillId="18" borderId="2" xfId="23" applyNumberFormat="1" applyFont="1" applyFill="1" applyBorder="1" applyAlignment="1" applyProtection="1">
      <alignment horizontal="left" vertical="center" wrapText="1"/>
      <protection locked="0"/>
    </xf>
    <xf numFmtId="168" fontId="77" fillId="18" borderId="41" xfId="23" applyNumberFormat="1" applyFont="1" applyFill="1" applyBorder="1" applyAlignment="1" applyProtection="1">
      <alignment horizontal="right" vertical="center" wrapText="1"/>
      <protection locked="0"/>
    </xf>
    <xf numFmtId="49" fontId="77" fillId="16" borderId="18" xfId="23" applyNumberFormat="1" applyFont="1" applyFill="1" applyBorder="1" applyAlignment="1" applyProtection="1">
      <alignment horizontal="center" vertical="center" wrapText="1"/>
      <protection locked="0"/>
    </xf>
    <xf numFmtId="49" fontId="78" fillId="16" borderId="29" xfId="23" applyNumberFormat="1" applyFont="1" applyFill="1" applyBorder="1" applyAlignment="1" applyProtection="1">
      <alignment horizontal="center" vertical="center" wrapText="1"/>
      <protection locked="0"/>
    </xf>
    <xf numFmtId="49" fontId="77" fillId="16" borderId="8" xfId="23" applyNumberFormat="1" applyFont="1" applyFill="1" applyBorder="1" applyAlignment="1" applyProtection="1">
      <alignment horizontal="left" vertical="center" wrapText="1"/>
      <protection locked="0"/>
    </xf>
    <xf numFmtId="168" fontId="77" fillId="16" borderId="18" xfId="23" applyNumberFormat="1" applyFont="1" applyFill="1" applyBorder="1" applyAlignment="1" applyProtection="1">
      <alignment horizontal="right" vertical="center" wrapText="1"/>
      <protection locked="0"/>
    </xf>
    <xf numFmtId="49" fontId="81" fillId="16" borderId="18" xfId="23" applyNumberFormat="1" applyFont="1" applyFill="1" applyBorder="1" applyAlignment="1" applyProtection="1">
      <alignment horizontal="center" vertical="center" wrapText="1"/>
      <protection locked="0"/>
    </xf>
    <xf numFmtId="49" fontId="81" fillId="16" borderId="18" xfId="23" applyNumberFormat="1" applyFont="1" applyFill="1" applyBorder="1" applyAlignment="1" applyProtection="1">
      <alignment vertical="center" wrapText="1"/>
      <protection locked="0"/>
    </xf>
    <xf numFmtId="168" fontId="81" fillId="16" borderId="15" xfId="23" applyNumberFormat="1" applyFont="1" applyFill="1" applyBorder="1" applyAlignment="1" applyProtection="1">
      <alignment horizontal="right" vertical="center" wrapText="1"/>
      <protection locked="0"/>
    </xf>
    <xf numFmtId="0" fontId="83" fillId="0" borderId="0" xfId="23" applyFont="1"/>
    <xf numFmtId="49" fontId="81" fillId="16" borderId="15" xfId="23" applyNumberFormat="1" applyFont="1" applyFill="1" applyBorder="1" applyAlignment="1" applyProtection="1">
      <alignment horizontal="center" vertical="center" wrapText="1"/>
      <protection locked="0"/>
    </xf>
    <xf numFmtId="0" fontId="50" fillId="0" borderId="15" xfId="23" applyFont="1" applyBorder="1" applyAlignment="1">
      <alignment vertical="top" wrapText="1"/>
    </xf>
    <xf numFmtId="0" fontId="50" fillId="0" borderId="18" xfId="23" applyFont="1" applyBorder="1" applyAlignment="1">
      <alignment vertical="center" wrapText="1"/>
    </xf>
    <xf numFmtId="168" fontId="81" fillId="16" borderId="18" xfId="23" applyNumberFormat="1" applyFont="1" applyFill="1" applyBorder="1" applyAlignment="1" applyProtection="1">
      <alignment horizontal="right" vertical="center" wrapText="1"/>
      <protection locked="0"/>
    </xf>
    <xf numFmtId="4" fontId="50" fillId="0" borderId="18" xfId="23" applyNumberFormat="1" applyFont="1" applyBorder="1" applyAlignment="1">
      <alignment vertical="center"/>
    </xf>
    <xf numFmtId="49" fontId="77" fillId="16" borderId="14" xfId="23" applyNumberFormat="1" applyFont="1" applyFill="1" applyBorder="1" applyAlignment="1" applyProtection="1">
      <alignment horizontal="center" vertical="center" wrapText="1"/>
      <protection locked="0"/>
    </xf>
    <xf numFmtId="49" fontId="77" fillId="16" borderId="14" xfId="23" applyNumberFormat="1" applyFont="1" applyFill="1" applyBorder="1" applyAlignment="1" applyProtection="1">
      <alignment horizontal="left" vertical="center" wrapText="1"/>
      <protection locked="0"/>
    </xf>
    <xf numFmtId="168" fontId="77" fillId="16" borderId="44" xfId="23" applyNumberFormat="1" applyFont="1" applyFill="1" applyBorder="1" applyAlignment="1" applyProtection="1">
      <alignment horizontal="right" vertical="center" wrapText="1"/>
      <protection locked="0"/>
    </xf>
    <xf numFmtId="49" fontId="80" fillId="16" borderId="18" xfId="23" applyNumberFormat="1" applyFont="1" applyFill="1" applyBorder="1" applyAlignment="1" applyProtection="1">
      <alignment vertical="center" wrapText="1"/>
      <protection locked="0"/>
    </xf>
    <xf numFmtId="168" fontId="78" fillId="16" borderId="44" xfId="23" applyNumberFormat="1" applyFont="1" applyFill="1" applyBorder="1" applyAlignment="1" applyProtection="1">
      <alignment horizontal="right" vertical="center" wrapText="1"/>
      <protection locked="0"/>
    </xf>
    <xf numFmtId="0" fontId="50" fillId="0" borderId="18" xfId="23" applyFont="1" applyBorder="1" applyAlignment="1">
      <alignment vertical="top" wrapText="1"/>
    </xf>
    <xf numFmtId="168" fontId="78" fillId="16" borderId="45" xfId="23" applyNumberFormat="1" applyFont="1" applyFill="1" applyBorder="1" applyAlignment="1" applyProtection="1">
      <alignment horizontal="right" vertical="center" wrapText="1"/>
      <protection locked="0"/>
    </xf>
    <xf numFmtId="49" fontId="84" fillId="16" borderId="15" xfId="23" applyNumberFormat="1" applyFont="1" applyFill="1" applyBorder="1" applyAlignment="1" applyProtection="1">
      <alignment horizontal="center" vertical="center" wrapText="1"/>
      <protection locked="0"/>
    </xf>
    <xf numFmtId="49" fontId="78" fillId="16" borderId="47" xfId="23" applyNumberFormat="1" applyFont="1" applyFill="1" applyBorder="1" applyAlignment="1" applyProtection="1">
      <alignment horizontal="center" vertical="center" wrapText="1"/>
      <protection locked="0"/>
    </xf>
    <xf numFmtId="49" fontId="78" fillId="16" borderId="1" xfId="23" applyNumberFormat="1" applyFont="1" applyFill="1" applyBorder="1" applyAlignment="1" applyProtection="1">
      <alignment horizontal="left" vertical="center" wrapText="1"/>
      <protection locked="0"/>
    </xf>
    <xf numFmtId="49" fontId="77" fillId="19" borderId="33" xfId="23" applyNumberFormat="1" applyFont="1" applyFill="1" applyBorder="1" applyAlignment="1" applyProtection="1">
      <alignment horizontal="center" vertical="center" wrapText="1"/>
      <protection locked="0"/>
    </xf>
    <xf numFmtId="49" fontId="77" fillId="19" borderId="1" xfId="23" applyNumberFormat="1" applyFont="1" applyFill="1" applyBorder="1" applyAlignment="1" applyProtection="1">
      <alignment horizontal="center" vertical="center" wrapText="1"/>
      <protection locked="0"/>
    </xf>
    <xf numFmtId="49" fontId="77" fillId="19" borderId="14" xfId="23" applyNumberFormat="1" applyFont="1" applyFill="1" applyBorder="1" applyAlignment="1" applyProtection="1">
      <alignment horizontal="center" vertical="center" wrapText="1"/>
      <protection locked="0"/>
    </xf>
    <xf numFmtId="49" fontId="77" fillId="19" borderId="1" xfId="23" applyNumberFormat="1" applyFont="1" applyFill="1" applyBorder="1" applyAlignment="1" applyProtection="1">
      <alignment horizontal="left" vertical="center" wrapText="1"/>
      <protection locked="0"/>
    </xf>
    <xf numFmtId="168" fontId="77" fillId="19" borderId="34" xfId="23" applyNumberFormat="1" applyFont="1" applyFill="1" applyBorder="1" applyAlignment="1" applyProtection="1">
      <alignment horizontal="right" vertical="center" wrapText="1"/>
      <protection locked="0"/>
    </xf>
    <xf numFmtId="49" fontId="85" fillId="16" borderId="19" xfId="23" applyNumberFormat="1" applyFont="1" applyFill="1" applyBorder="1" applyAlignment="1" applyProtection="1">
      <alignment horizontal="center" vertical="center" wrapText="1"/>
      <protection locked="0"/>
    </xf>
    <xf numFmtId="49" fontId="77" fillId="20" borderId="1" xfId="23" applyNumberFormat="1" applyFont="1" applyFill="1" applyBorder="1" applyAlignment="1" applyProtection="1">
      <alignment horizontal="center" vertical="center" wrapText="1"/>
      <protection locked="0"/>
    </xf>
    <xf numFmtId="49" fontId="86" fillId="20" borderId="1" xfId="23" applyNumberFormat="1" applyFont="1" applyFill="1" applyBorder="1" applyAlignment="1" applyProtection="1">
      <alignment horizontal="center" vertical="center" wrapText="1"/>
      <protection locked="0"/>
    </xf>
    <xf numFmtId="49" fontId="77" fillId="20" borderId="1" xfId="23" applyNumberFormat="1" applyFont="1" applyFill="1" applyBorder="1" applyAlignment="1" applyProtection="1">
      <alignment horizontal="left" vertical="center" wrapText="1"/>
      <protection locked="0"/>
    </xf>
    <xf numFmtId="168" fontId="77" fillId="20" borderId="34" xfId="23" applyNumberFormat="1" applyFont="1" applyFill="1" applyBorder="1" applyAlignment="1" applyProtection="1">
      <alignment horizontal="right" vertical="center" wrapText="1"/>
      <protection locked="0"/>
    </xf>
    <xf numFmtId="49" fontId="78" fillId="16" borderId="19" xfId="23" applyNumberFormat="1" applyFont="1" applyFill="1" applyBorder="1" applyAlignment="1" applyProtection="1">
      <alignment horizontal="center" vertical="center" wrapText="1"/>
      <protection locked="0"/>
    </xf>
    <xf numFmtId="49" fontId="78" fillId="16" borderId="2" xfId="23" applyNumberFormat="1" applyFont="1" applyFill="1" applyBorder="1" applyAlignment="1" applyProtection="1">
      <alignment horizontal="center" vertical="center" wrapText="1"/>
      <protection locked="0"/>
    </xf>
    <xf numFmtId="49" fontId="77" fillId="16" borderId="1" xfId="23" applyNumberFormat="1" applyFont="1" applyFill="1" applyBorder="1" applyAlignment="1" applyProtection="1">
      <alignment horizontal="center" vertical="center" wrapText="1"/>
      <protection locked="0"/>
    </xf>
    <xf numFmtId="49" fontId="77" fillId="16" borderId="1" xfId="23" applyNumberFormat="1" applyFont="1" applyFill="1" applyBorder="1" applyAlignment="1" applyProtection="1">
      <alignment horizontal="left" vertical="center" wrapText="1"/>
      <protection locked="0"/>
    </xf>
    <xf numFmtId="168" fontId="77" fillId="16" borderId="34" xfId="23" applyNumberFormat="1" applyFont="1" applyFill="1" applyBorder="1" applyAlignment="1" applyProtection="1">
      <alignment horizontal="right" vertical="center" wrapText="1"/>
      <protection locked="0"/>
    </xf>
    <xf numFmtId="49" fontId="80" fillId="16" borderId="19" xfId="23" applyNumberFormat="1" applyFont="1" applyFill="1" applyBorder="1" applyAlignment="1" applyProtection="1">
      <alignment horizontal="center" vertical="center" wrapText="1"/>
      <protection locked="0"/>
    </xf>
    <xf numFmtId="49" fontId="80" fillId="16" borderId="2" xfId="23" applyNumberFormat="1" applyFont="1" applyFill="1" applyBorder="1" applyAlignment="1" applyProtection="1">
      <alignment horizontal="center" vertical="center" wrapText="1"/>
      <protection locked="0"/>
    </xf>
    <xf numFmtId="49" fontId="80" fillId="16" borderId="0" xfId="23" applyNumberFormat="1" applyFont="1" applyFill="1" applyBorder="1" applyAlignment="1" applyProtection="1">
      <alignment horizontal="center" vertical="center" wrapText="1"/>
      <protection locked="0"/>
    </xf>
    <xf numFmtId="49" fontId="81" fillId="16" borderId="1" xfId="23" applyNumberFormat="1" applyFont="1" applyFill="1" applyBorder="1" applyAlignment="1" applyProtection="1">
      <alignment horizontal="center" vertical="center" wrapText="1"/>
      <protection locked="0"/>
    </xf>
    <xf numFmtId="49" fontId="81" fillId="16" borderId="1" xfId="23" applyNumberFormat="1" applyFont="1" applyFill="1" applyBorder="1" applyAlignment="1" applyProtection="1">
      <alignment horizontal="left" vertical="center" wrapText="1"/>
      <protection locked="0"/>
    </xf>
    <xf numFmtId="168" fontId="81" fillId="16" borderId="34" xfId="23" applyNumberFormat="1" applyFont="1" applyFill="1" applyBorder="1" applyAlignment="1" applyProtection="1">
      <alignment horizontal="right" vertical="center" wrapText="1"/>
      <protection locked="0"/>
    </xf>
    <xf numFmtId="49" fontId="78" fillId="16" borderId="1" xfId="23" applyNumberFormat="1" applyFont="1" applyFill="1" applyBorder="1" applyAlignment="1" applyProtection="1">
      <alignment horizontal="center" vertical="center" wrapText="1"/>
      <protection locked="0"/>
    </xf>
    <xf numFmtId="168" fontId="78" fillId="16" borderId="34" xfId="23" applyNumberFormat="1" applyFont="1" applyFill="1" applyBorder="1" applyAlignment="1" applyProtection="1">
      <alignment horizontal="right" vertical="center" wrapText="1"/>
      <protection locked="0"/>
    </xf>
    <xf numFmtId="4" fontId="81" fillId="16" borderId="34" xfId="23" applyNumberFormat="1" applyFont="1" applyFill="1" applyBorder="1" applyAlignment="1" applyProtection="1">
      <alignment horizontal="right" vertical="center" wrapText="1"/>
      <protection locked="0"/>
    </xf>
    <xf numFmtId="49" fontId="79" fillId="16" borderId="0" xfId="23" applyNumberFormat="1" applyFont="1" applyFill="1" applyBorder="1" applyAlignment="1" applyProtection="1">
      <alignment horizontal="center" vertical="center" wrapText="1"/>
      <protection locked="0"/>
    </xf>
    <xf numFmtId="49" fontId="80" fillId="16" borderId="13" xfId="23" applyNumberFormat="1" applyFont="1" applyFill="1" applyBorder="1" applyAlignment="1" applyProtection="1">
      <alignment horizontal="center" vertical="center" wrapText="1"/>
      <protection locked="0"/>
    </xf>
    <xf numFmtId="49" fontId="84" fillId="16" borderId="18" xfId="23" applyNumberFormat="1" applyFont="1" applyFill="1" applyBorder="1" applyAlignment="1" applyProtection="1">
      <alignment horizontal="center" vertical="center" wrapText="1"/>
      <protection locked="0"/>
    </xf>
    <xf numFmtId="49" fontId="84" fillId="16" borderId="3" xfId="23" applyNumberFormat="1" applyFont="1" applyFill="1" applyBorder="1" applyAlignment="1" applyProtection="1">
      <alignment horizontal="center" vertical="center" wrapText="1"/>
      <protection locked="0"/>
    </xf>
    <xf numFmtId="49" fontId="84" fillId="16" borderId="1" xfId="23" applyNumberFormat="1" applyFont="1" applyFill="1" applyBorder="1" applyAlignment="1" applyProtection="1">
      <alignment horizontal="left" vertical="center" wrapText="1"/>
      <protection locked="0"/>
    </xf>
    <xf numFmtId="168" fontId="84" fillId="16" borderId="34" xfId="23" applyNumberFormat="1" applyFont="1" applyFill="1" applyBorder="1" applyAlignment="1" applyProtection="1">
      <alignment horizontal="right" vertical="center" wrapText="1"/>
      <protection locked="0"/>
    </xf>
    <xf numFmtId="169" fontId="23" fillId="0" borderId="18" xfId="23" applyNumberFormat="1" applyFont="1" applyBorder="1" applyAlignment="1">
      <alignment vertical="center"/>
    </xf>
    <xf numFmtId="49" fontId="89" fillId="16" borderId="1" xfId="23" applyNumberFormat="1" applyFont="1" applyFill="1" applyBorder="1" applyAlignment="1" applyProtection="1">
      <alignment horizontal="left" vertical="center" wrapText="1"/>
      <protection locked="0"/>
    </xf>
    <xf numFmtId="49" fontId="77" fillId="16" borderId="0" xfId="23" applyNumberFormat="1" applyFont="1" applyFill="1" applyBorder="1" applyAlignment="1" applyProtection="1">
      <alignment horizontal="center" vertical="center" wrapText="1"/>
      <protection locked="0"/>
    </xf>
    <xf numFmtId="49" fontId="77" fillId="16" borderId="8" xfId="23" applyNumberFormat="1" applyFont="1" applyFill="1" applyBorder="1" applyAlignment="1" applyProtection="1">
      <alignment horizontal="center" vertical="center" wrapText="1"/>
      <protection locked="0"/>
    </xf>
    <xf numFmtId="49" fontId="81" fillId="16" borderId="39" xfId="23" applyNumberFormat="1" applyFont="1" applyFill="1" applyBorder="1" applyAlignment="1" applyProtection="1">
      <alignment horizontal="center" vertical="center" wrapText="1"/>
      <protection locked="0"/>
    </xf>
    <xf numFmtId="49" fontId="80" fillId="16" borderId="40" xfId="23" applyNumberFormat="1" applyFont="1" applyFill="1" applyBorder="1" applyAlignment="1" applyProtection="1">
      <alignment horizontal="center" vertical="center" wrapText="1"/>
      <protection locked="0"/>
    </xf>
    <xf numFmtId="49" fontId="80" fillId="16" borderId="15" xfId="23" applyNumberFormat="1" applyFont="1" applyFill="1" applyBorder="1" applyAlignment="1" applyProtection="1">
      <alignment horizontal="center" vertical="center" wrapText="1"/>
      <protection locked="0"/>
    </xf>
    <xf numFmtId="49" fontId="81" fillId="16" borderId="60" xfId="23" applyNumberFormat="1" applyFont="1" applyFill="1" applyBorder="1" applyAlignment="1" applyProtection="1">
      <alignment horizontal="center" vertical="center" wrapText="1"/>
      <protection locked="0"/>
    </xf>
    <xf numFmtId="49" fontId="81" fillId="16" borderId="3" xfId="23" applyNumberFormat="1" applyFont="1" applyFill="1" applyBorder="1" applyAlignment="1" applyProtection="1">
      <alignment horizontal="left" vertical="center" wrapText="1"/>
      <protection locked="0"/>
    </xf>
    <xf numFmtId="49" fontId="77" fillId="20" borderId="43" xfId="23" applyNumberFormat="1" applyFont="1" applyFill="1" applyBorder="1" applyAlignment="1" applyProtection="1">
      <alignment horizontal="center" vertical="center" wrapText="1"/>
      <protection locked="0"/>
    </xf>
    <xf numFmtId="49" fontId="86" fillId="20" borderId="3" xfId="23" applyNumberFormat="1" applyFont="1" applyFill="1" applyBorder="1" applyAlignment="1" applyProtection="1">
      <alignment horizontal="center" vertical="center" wrapText="1"/>
      <protection locked="0"/>
    </xf>
    <xf numFmtId="49" fontId="78" fillId="16" borderId="13" xfId="23" applyNumberFormat="1" applyFont="1" applyFill="1" applyBorder="1" applyAlignment="1" applyProtection="1">
      <alignment horizontal="center" vertical="center" wrapText="1"/>
      <protection locked="0"/>
    </xf>
    <xf numFmtId="49" fontId="77" fillId="16" borderId="3" xfId="23" applyNumberFormat="1" applyFont="1" applyFill="1" applyBorder="1" applyAlignment="1" applyProtection="1">
      <alignment horizontal="center" vertical="center" wrapText="1"/>
      <protection locked="0"/>
    </xf>
    <xf numFmtId="49" fontId="79" fillId="16" borderId="2" xfId="23" applyNumberFormat="1" applyFont="1" applyFill="1" applyBorder="1" applyAlignment="1" applyProtection="1">
      <alignment vertical="center" wrapText="1"/>
      <protection locked="0"/>
    </xf>
    <xf numFmtId="49" fontId="79" fillId="16" borderId="8" xfId="23" applyNumberFormat="1" applyFont="1" applyFill="1" applyBorder="1" applyAlignment="1" applyProtection="1">
      <alignment horizontal="center" vertical="center" wrapText="1"/>
      <protection locked="0"/>
    </xf>
    <xf numFmtId="169" fontId="50" fillId="0" borderId="18" xfId="23" applyNumberFormat="1" applyFont="1" applyBorder="1"/>
    <xf numFmtId="49" fontId="92" fillId="16" borderId="19" xfId="23" applyNumberFormat="1" applyFont="1" applyFill="1" applyBorder="1" applyAlignment="1" applyProtection="1">
      <alignment horizontal="center" vertical="center" wrapText="1"/>
      <protection locked="0"/>
    </xf>
    <xf numFmtId="49" fontId="78" fillId="16" borderId="0" xfId="23" applyNumberFormat="1" applyFont="1" applyFill="1" applyBorder="1" applyAlignment="1" applyProtection="1">
      <alignment horizontal="center" vertical="center" wrapText="1"/>
      <protection locked="0"/>
    </xf>
    <xf numFmtId="49" fontId="77" fillId="4" borderId="19" xfId="23" applyNumberFormat="1" applyFont="1" applyFill="1" applyBorder="1" applyAlignment="1" applyProtection="1">
      <alignment horizontal="center" vertical="center" wrapText="1"/>
      <protection locked="0"/>
    </xf>
    <xf numFmtId="49" fontId="77" fillId="21" borderId="1" xfId="23" applyNumberFormat="1" applyFont="1" applyFill="1" applyBorder="1" applyAlignment="1" applyProtection="1">
      <alignment horizontal="center" vertical="center" wrapText="1"/>
      <protection locked="0"/>
    </xf>
    <xf numFmtId="49" fontId="77" fillId="21" borderId="1" xfId="23" applyNumberFormat="1" applyFont="1" applyFill="1" applyBorder="1" applyAlignment="1" applyProtection="1">
      <alignment horizontal="left" vertical="center" wrapText="1"/>
      <protection locked="0"/>
    </xf>
    <xf numFmtId="168" fontId="77" fillId="21" borderId="34" xfId="23" applyNumberFormat="1" applyFont="1" applyFill="1" applyBorder="1" applyAlignment="1" applyProtection="1">
      <alignment horizontal="right" vertical="center" wrapText="1"/>
      <protection locked="0"/>
    </xf>
    <xf numFmtId="0" fontId="83" fillId="9" borderId="0" xfId="23" applyFont="1" applyFill="1"/>
    <xf numFmtId="49" fontId="77" fillId="4" borderId="8" xfId="23" applyNumberFormat="1" applyFont="1" applyFill="1" applyBorder="1" applyAlignment="1" applyProtection="1">
      <alignment horizontal="center" vertical="center" wrapText="1"/>
      <protection locked="0"/>
    </xf>
    <xf numFmtId="49" fontId="77" fillId="4" borderId="1" xfId="23" applyNumberFormat="1" applyFont="1" applyFill="1" applyBorder="1" applyAlignment="1" applyProtection="1">
      <alignment horizontal="center" vertical="center" wrapText="1"/>
      <protection locked="0"/>
    </xf>
    <xf numFmtId="49" fontId="77" fillId="4" borderId="1" xfId="23" applyNumberFormat="1" applyFont="1" applyFill="1" applyBorder="1" applyAlignment="1" applyProtection="1">
      <alignment horizontal="left" vertical="center" wrapText="1"/>
      <protection locked="0"/>
    </xf>
    <xf numFmtId="168" fontId="77" fillId="4" borderId="34" xfId="23" applyNumberFormat="1" applyFont="1" applyFill="1" applyBorder="1" applyAlignment="1" applyProtection="1">
      <alignment horizontal="right" vertical="center" wrapText="1"/>
      <protection locked="0"/>
    </xf>
    <xf numFmtId="49" fontId="77" fillId="4" borderId="2" xfId="23" applyNumberFormat="1" applyFont="1" applyFill="1" applyBorder="1" applyAlignment="1" applyProtection="1">
      <alignment horizontal="center" vertical="center" wrapText="1"/>
      <protection locked="0"/>
    </xf>
    <xf numFmtId="49" fontId="78" fillId="4" borderId="1" xfId="23" applyNumberFormat="1" applyFont="1" applyFill="1" applyBorder="1" applyAlignment="1" applyProtection="1">
      <alignment horizontal="center" vertical="center" wrapText="1"/>
      <protection locked="0"/>
    </xf>
    <xf numFmtId="49" fontId="78" fillId="4" borderId="1" xfId="23" applyNumberFormat="1" applyFont="1" applyFill="1" applyBorder="1" applyAlignment="1" applyProtection="1">
      <alignment horizontal="left" vertical="center" wrapText="1"/>
      <protection locked="0"/>
    </xf>
    <xf numFmtId="168" fontId="78" fillId="4" borderId="34" xfId="23" applyNumberFormat="1" applyFont="1" applyFill="1" applyBorder="1" applyAlignment="1" applyProtection="1">
      <alignment horizontal="right" vertical="center" wrapText="1"/>
      <protection locked="0"/>
    </xf>
    <xf numFmtId="168" fontId="81" fillId="4" borderId="34" xfId="23" applyNumberFormat="1" applyFont="1" applyFill="1" applyBorder="1" applyAlignment="1" applyProtection="1">
      <alignment horizontal="right" vertical="center" wrapText="1"/>
      <protection locked="0"/>
    </xf>
    <xf numFmtId="49" fontId="77" fillId="4" borderId="14" xfId="23" applyNumberFormat="1" applyFont="1" applyFill="1" applyBorder="1" applyAlignment="1" applyProtection="1">
      <alignment horizontal="center" vertical="center" wrapText="1"/>
      <protection locked="0"/>
    </xf>
    <xf numFmtId="168" fontId="84" fillId="20" borderId="34" xfId="23" applyNumberFormat="1" applyFont="1" applyFill="1" applyBorder="1" applyAlignment="1" applyProtection="1">
      <alignment horizontal="right" vertical="center" wrapText="1"/>
      <protection locked="0"/>
    </xf>
    <xf numFmtId="49" fontId="89" fillId="4" borderId="1" xfId="23" applyNumberFormat="1" applyFont="1" applyFill="1" applyBorder="1" applyAlignment="1" applyProtection="1">
      <alignment horizontal="center" vertical="center" wrapText="1"/>
      <protection locked="0"/>
    </xf>
    <xf numFmtId="49" fontId="89" fillId="4" borderId="1" xfId="23" applyNumberFormat="1" applyFont="1" applyFill="1" applyBorder="1" applyAlignment="1" applyProtection="1">
      <alignment horizontal="left" vertical="center" wrapText="1"/>
      <protection locked="0"/>
    </xf>
    <xf numFmtId="49" fontId="86" fillId="4" borderId="1" xfId="23" applyNumberFormat="1" applyFont="1" applyFill="1" applyBorder="1" applyAlignment="1" applyProtection="1">
      <alignment horizontal="center" vertical="center" wrapText="1"/>
      <protection locked="0"/>
    </xf>
    <xf numFmtId="49" fontId="91" fillId="4" borderId="1" xfId="23" applyNumberFormat="1" applyFont="1" applyFill="1" applyBorder="1" applyAlignment="1" applyProtection="1">
      <alignment horizontal="center" vertical="center" wrapText="1"/>
      <protection locked="0"/>
    </xf>
    <xf numFmtId="49" fontId="91" fillId="4" borderId="1" xfId="23" applyNumberFormat="1" applyFont="1" applyFill="1" applyBorder="1" applyAlignment="1" applyProtection="1">
      <alignment horizontal="left" vertical="center" wrapText="1"/>
      <protection locked="0"/>
    </xf>
    <xf numFmtId="49" fontId="78" fillId="16" borderId="1" xfId="23" applyNumberFormat="1" applyFont="1" applyFill="1" applyBorder="1" applyAlignment="1" applyProtection="1">
      <alignment horizontal="left" vertical="center"/>
      <protection locked="0"/>
    </xf>
    <xf numFmtId="0" fontId="90" fillId="0" borderId="0" xfId="23" applyFont="1" applyBorder="1" applyAlignment="1">
      <alignment vertical="center" wrapText="1"/>
    </xf>
    <xf numFmtId="49" fontId="81" fillId="16" borderId="8" xfId="23" applyNumberFormat="1" applyFont="1" applyFill="1" applyBorder="1" applyAlignment="1" applyProtection="1">
      <alignment horizontal="center" vertical="center" wrapText="1"/>
      <protection locked="0"/>
    </xf>
    <xf numFmtId="49" fontId="81" fillId="16" borderId="8" xfId="23" applyNumberFormat="1" applyFont="1" applyFill="1" applyBorder="1" applyAlignment="1" applyProtection="1">
      <alignment horizontal="left" vertical="center" wrapText="1"/>
      <protection locked="0"/>
    </xf>
    <xf numFmtId="168" fontId="93" fillId="16" borderId="92" xfId="23" applyNumberFormat="1" applyFont="1" applyFill="1" applyBorder="1" applyAlignment="1" applyProtection="1">
      <alignment horizontal="right" vertical="center" wrapText="1"/>
      <protection locked="0"/>
    </xf>
    <xf numFmtId="0" fontId="94" fillId="0" borderId="93" xfId="23" applyFont="1" applyBorder="1" applyAlignment="1">
      <alignment horizontal="center"/>
    </xf>
    <xf numFmtId="0" fontId="94" fillId="0" borderId="29" xfId="23" applyFont="1" applyBorder="1"/>
    <xf numFmtId="0" fontId="94" fillId="0" borderId="0" xfId="23" applyFont="1" applyBorder="1"/>
    <xf numFmtId="168" fontId="95" fillId="0" borderId="20" xfId="23" applyNumberFormat="1" applyFont="1" applyBorder="1"/>
    <xf numFmtId="168" fontId="95" fillId="0" borderId="31" xfId="23" applyNumberFormat="1" applyFont="1" applyBorder="1"/>
    <xf numFmtId="0" fontId="94" fillId="0" borderId="22" xfId="23" applyFont="1" applyBorder="1"/>
    <xf numFmtId="168" fontId="95" fillId="0" borderId="15" xfId="23" applyNumberFormat="1" applyFont="1" applyBorder="1"/>
    <xf numFmtId="168" fontId="95" fillId="0" borderId="32" xfId="23" applyNumberFormat="1" applyFont="1" applyBorder="1"/>
    <xf numFmtId="0" fontId="3" fillId="0" borderId="0" xfId="23" applyFont="1" applyBorder="1" applyAlignment="1">
      <alignment vertical="top"/>
    </xf>
    <xf numFmtId="168" fontId="3" fillId="0" borderId="0" xfId="23" applyNumberFormat="1" applyFont="1" applyBorder="1"/>
    <xf numFmtId="168" fontId="3" fillId="0" borderId="0" xfId="23" applyNumberFormat="1" applyFont="1"/>
    <xf numFmtId="0" fontId="12" fillId="0" borderId="0" xfId="37"/>
    <xf numFmtId="0" fontId="39" fillId="0" borderId="18" xfId="37" applyFont="1" applyBorder="1" applyAlignment="1">
      <alignment horizontal="center" vertical="center"/>
    </xf>
    <xf numFmtId="0" fontId="39" fillId="0" borderId="18" xfId="37" applyFont="1" applyBorder="1" applyAlignment="1">
      <alignment vertical="center"/>
    </xf>
    <xf numFmtId="0" fontId="23" fillId="0" borderId="18" xfId="37" applyFont="1" applyBorder="1" applyAlignment="1">
      <alignment horizontal="center" vertical="center" wrapText="1"/>
    </xf>
    <xf numFmtId="0" fontId="39" fillId="0" borderId="18" xfId="37" applyFont="1" applyBorder="1" applyAlignment="1">
      <alignment horizontal="center" vertical="center" wrapText="1"/>
    </xf>
    <xf numFmtId="0" fontId="40" fillId="0" borderId="29" xfId="37" applyFont="1" applyBorder="1" applyAlignment="1">
      <alignment horizontal="center"/>
    </xf>
    <xf numFmtId="0" fontId="40" fillId="0" borderId="29" xfId="37" applyFont="1" applyBorder="1"/>
    <xf numFmtId="4" fontId="40" fillId="0" borderId="29" xfId="37" applyNumberFormat="1" applyFont="1" applyBorder="1"/>
    <xf numFmtId="0" fontId="12" fillId="0" borderId="20" xfId="37" applyBorder="1" applyAlignment="1">
      <alignment horizontal="center"/>
    </xf>
    <xf numFmtId="0" fontId="96" fillId="0" borderId="20" xfId="37" applyFont="1" applyBorder="1" applyAlignment="1">
      <alignment vertical="center" wrapText="1"/>
    </xf>
    <xf numFmtId="0" fontId="40" fillId="0" borderId="20" xfId="37" applyFont="1" applyBorder="1"/>
    <xf numFmtId="4" fontId="96" fillId="0" borderId="20" xfId="37" applyNumberFormat="1" applyFont="1" applyBorder="1" applyAlignment="1">
      <alignment vertical="top"/>
    </xf>
    <xf numFmtId="4" fontId="96" fillId="0" borderId="15" xfId="23" applyNumberFormat="1" applyFont="1" applyBorder="1"/>
    <xf numFmtId="0" fontId="40" fillId="0" borderId="29" xfId="37" applyFont="1" applyBorder="1" applyAlignment="1">
      <alignment vertical="center" wrapText="1"/>
    </xf>
    <xf numFmtId="0" fontId="40" fillId="0" borderId="20" xfId="37" applyFont="1" applyBorder="1" applyAlignment="1">
      <alignment horizontal="center"/>
    </xf>
    <xf numFmtId="4" fontId="96" fillId="0" borderId="20" xfId="37" applyNumberFormat="1" applyFont="1" applyBorder="1"/>
    <xf numFmtId="0" fontId="96" fillId="0" borderId="0" xfId="23" applyFont="1" applyAlignment="1">
      <alignment vertical="center" wrapText="1"/>
    </xf>
    <xf numFmtId="0" fontId="96" fillId="0" borderId="20" xfId="37" applyFont="1" applyBorder="1"/>
    <xf numFmtId="4" fontId="40" fillId="0" borderId="29" xfId="37" applyNumberFormat="1" applyFont="1" applyBorder="1" applyAlignment="1">
      <alignment vertical="center"/>
    </xf>
    <xf numFmtId="4" fontId="96" fillId="0" borderId="20" xfId="23" applyNumberFormat="1" applyFont="1" applyBorder="1" applyAlignment="1">
      <alignment vertical="center"/>
    </xf>
    <xf numFmtId="4" fontId="96" fillId="0" borderId="20" xfId="23" applyNumberFormat="1" applyFont="1" applyBorder="1"/>
    <xf numFmtId="4" fontId="96" fillId="0" borderId="15" xfId="23" applyNumberFormat="1" applyFont="1" applyBorder="1" applyAlignment="1">
      <alignment vertical="center"/>
    </xf>
    <xf numFmtId="0" fontId="96" fillId="0" borderId="20" xfId="37" applyFont="1" applyBorder="1" applyAlignment="1">
      <alignment vertical="top"/>
    </xf>
    <xf numFmtId="4" fontId="96" fillId="0" borderId="20" xfId="37" applyNumberFormat="1" applyFont="1" applyBorder="1" applyAlignment="1">
      <alignment vertical="top" wrapText="1"/>
    </xf>
    <xf numFmtId="0" fontId="96" fillId="0" borderId="20" xfId="37" applyFont="1" applyBorder="1" applyAlignment="1">
      <alignment horizontal="center"/>
    </xf>
    <xf numFmtId="0" fontId="12" fillId="0" borderId="15" xfId="37" applyBorder="1" applyAlignment="1">
      <alignment horizontal="center"/>
    </xf>
    <xf numFmtId="0" fontId="96" fillId="0" borderId="15" xfId="37" applyFont="1" applyBorder="1" applyAlignment="1">
      <alignment vertical="center" wrapText="1"/>
    </xf>
    <xf numFmtId="0" fontId="96" fillId="0" borderId="15" xfId="37" applyFont="1" applyBorder="1" applyAlignment="1">
      <alignment horizontal="center"/>
    </xf>
    <xf numFmtId="4" fontId="96" fillId="0" borderId="15" xfId="37" applyNumberFormat="1" applyFont="1" applyBorder="1" applyAlignment="1">
      <alignment vertical="top"/>
    </xf>
    <xf numFmtId="0" fontId="94" fillId="0" borderId="15" xfId="37" applyFont="1" applyBorder="1" applyAlignment="1">
      <alignment horizontal="center"/>
    </xf>
    <xf numFmtId="0" fontId="96" fillId="0" borderId="20" xfId="38" applyFont="1" applyBorder="1" applyAlignment="1">
      <alignment vertical="center" wrapText="1"/>
    </xf>
    <xf numFmtId="0" fontId="12" fillId="0" borderId="20" xfId="37" applyBorder="1" applyAlignment="1">
      <alignment horizontal="center" vertical="top"/>
    </xf>
    <xf numFmtId="0" fontId="12" fillId="0" borderId="20" xfId="37" applyFont="1" applyBorder="1" applyAlignment="1">
      <alignment horizontal="center" vertical="top"/>
    </xf>
    <xf numFmtId="49" fontId="97" fillId="16" borderId="20" xfId="23" applyNumberFormat="1" applyFont="1" applyFill="1" applyBorder="1" applyAlignment="1" applyProtection="1">
      <alignment horizontal="left" vertical="center" wrapText="1"/>
      <protection locked="0"/>
    </xf>
    <xf numFmtId="4" fontId="96" fillId="0" borderId="20" xfId="23" applyNumberFormat="1" applyFont="1" applyBorder="1" applyAlignment="1">
      <alignment vertical="top"/>
    </xf>
    <xf numFmtId="0" fontId="96" fillId="0" borderId="20" xfId="37" applyFont="1" applyBorder="1" applyAlignment="1">
      <alignment horizontal="center" vertical="top"/>
    </xf>
    <xf numFmtId="0" fontId="50" fillId="0" borderId="20" xfId="37" applyFont="1" applyBorder="1" applyAlignment="1">
      <alignment horizontal="center" vertical="top"/>
    </xf>
    <xf numFmtId="0" fontId="12" fillId="0" borderId="87" xfId="37" applyBorder="1" applyAlignment="1">
      <alignment horizontal="center"/>
    </xf>
    <xf numFmtId="0" fontId="98" fillId="0" borderId="87" xfId="37" applyFont="1" applyBorder="1" applyAlignment="1">
      <alignment horizontal="right"/>
    </xf>
    <xf numFmtId="0" fontId="98" fillId="0" borderId="87" xfId="37" applyFont="1" applyBorder="1" applyAlignment="1">
      <alignment horizontal="center"/>
    </xf>
    <xf numFmtId="4" fontId="98" fillId="0" borderId="87" xfId="37" applyNumberFormat="1" applyFont="1" applyBorder="1"/>
    <xf numFmtId="170" fontId="41" fillId="0" borderId="0" xfId="39" applyFont="1" applyFill="1" applyBorder="1" applyAlignment="1" applyProtection="1"/>
    <xf numFmtId="0" fontId="41" fillId="0" borderId="0" xfId="40" applyFont="1"/>
    <xf numFmtId="170" fontId="101" fillId="0" borderId="0" xfId="39" applyFont="1" applyFill="1" applyBorder="1" applyAlignment="1" applyProtection="1">
      <alignment horizontal="right" vertical="center"/>
    </xf>
    <xf numFmtId="170" fontId="49" fillId="0" borderId="0" xfId="39" applyFont="1" applyFill="1" applyBorder="1" applyAlignment="1" applyProtection="1">
      <alignment horizontal="center" vertical="center"/>
    </xf>
    <xf numFmtId="170" fontId="41" fillId="0" borderId="0" xfId="39" applyFont="1" applyFill="1" applyBorder="1" applyAlignment="1" applyProtection="1">
      <alignment horizontal="center"/>
    </xf>
    <xf numFmtId="0" fontId="12" fillId="0" borderId="0" xfId="14" applyFont="1" applyAlignment="1">
      <alignment horizontal="center" vertical="center"/>
    </xf>
    <xf numFmtId="170" fontId="49" fillId="0" borderId="0" xfId="39" applyFont="1" applyFill="1" applyBorder="1" applyAlignment="1" applyProtection="1">
      <alignment horizontal="center"/>
    </xf>
    <xf numFmtId="170" fontId="35" fillId="0" borderId="0" xfId="39" applyFont="1" applyFill="1" applyBorder="1" applyAlignment="1" applyProtection="1">
      <alignment horizontal="center"/>
    </xf>
    <xf numFmtId="170" fontId="100" fillId="0" borderId="1" xfId="39" applyFont="1" applyFill="1" applyBorder="1" applyAlignment="1" applyProtection="1">
      <alignment horizontal="center" vertical="center"/>
    </xf>
    <xf numFmtId="170" fontId="100" fillId="0" borderId="8" xfId="39" applyFont="1" applyFill="1" applyBorder="1" applyAlignment="1" applyProtection="1">
      <alignment horizontal="center" vertical="center"/>
    </xf>
    <xf numFmtId="170" fontId="23" fillId="0" borderId="1" xfId="39" applyFont="1" applyFill="1" applyBorder="1" applyAlignment="1" applyProtection="1">
      <alignment vertical="center"/>
    </xf>
    <xf numFmtId="170" fontId="38" fillId="0" borderId="6" xfId="39" applyFont="1" applyFill="1" applyBorder="1" applyAlignment="1" applyProtection="1">
      <alignment horizontal="center" vertical="center"/>
    </xf>
    <xf numFmtId="170" fontId="6" fillId="0" borderId="18" xfId="39" applyFont="1" applyFill="1" applyBorder="1" applyAlignment="1" applyProtection="1">
      <alignment horizontal="center" vertical="center" wrapText="1"/>
    </xf>
    <xf numFmtId="164" fontId="43" fillId="5" borderId="6" xfId="39" applyNumberFormat="1" applyFont="1" applyFill="1" applyBorder="1" applyAlignment="1" applyProtection="1">
      <alignment vertical="top"/>
    </xf>
    <xf numFmtId="164" fontId="43" fillId="5" borderId="18" xfId="39" applyNumberFormat="1" applyFont="1" applyFill="1" applyBorder="1" applyAlignment="1" applyProtection="1">
      <alignment vertical="top"/>
    </xf>
    <xf numFmtId="164" fontId="43" fillId="5" borderId="3" xfId="39" applyNumberFormat="1" applyFont="1" applyFill="1" applyBorder="1" applyAlignment="1" applyProtection="1">
      <alignment vertical="top"/>
    </xf>
    <xf numFmtId="49" fontId="43" fillId="5" borderId="6" xfId="39" applyNumberFormat="1" applyFont="1" applyFill="1" applyBorder="1" applyAlignment="1" applyProtection="1">
      <alignment horizontal="left" vertical="top" wrapText="1"/>
    </xf>
    <xf numFmtId="4" fontId="43" fillId="5" borderId="15" xfId="39" applyNumberFormat="1" applyFont="1" applyFill="1" applyBorder="1" applyAlignment="1" applyProtection="1">
      <alignment horizontal="right" vertical="top"/>
    </xf>
    <xf numFmtId="0" fontId="34" fillId="0" borderId="0" xfId="40" applyFont="1" applyAlignment="1">
      <alignment vertical="top"/>
    </xf>
    <xf numFmtId="165" fontId="44" fillId="6" borderId="14" xfId="39" applyNumberFormat="1" applyFont="1" applyFill="1" applyBorder="1" applyAlignment="1" applyProtection="1">
      <alignment horizontal="left" vertical="top"/>
    </xf>
    <xf numFmtId="170" fontId="34" fillId="6" borderId="3" xfId="39" applyFont="1" applyFill="1" applyBorder="1" applyAlignment="1" applyProtection="1">
      <alignment vertical="top"/>
    </xf>
    <xf numFmtId="170" fontId="44" fillId="6" borderId="6" xfId="39" applyFont="1" applyFill="1" applyBorder="1" applyAlignment="1" applyProtection="1">
      <alignment vertical="top" wrapText="1"/>
    </xf>
    <xf numFmtId="4" fontId="44" fillId="6" borderId="18" xfId="39" applyNumberFormat="1" applyFont="1" applyFill="1" applyBorder="1" applyAlignment="1" applyProtection="1">
      <alignment horizontal="right" vertical="top"/>
    </xf>
    <xf numFmtId="170" fontId="34" fillId="0" borderId="1" xfId="39" applyFont="1" applyFill="1" applyBorder="1" applyAlignment="1" applyProtection="1">
      <alignment vertical="top"/>
    </xf>
    <xf numFmtId="171" fontId="44" fillId="0" borderId="3" xfId="39" applyNumberFormat="1" applyFont="1" applyFill="1" applyBorder="1" applyAlignment="1" applyProtection="1">
      <alignment horizontal="left" vertical="top"/>
    </xf>
    <xf numFmtId="170" fontId="44" fillId="0" borderId="6" xfId="39" applyFont="1" applyFill="1" applyBorder="1" applyAlignment="1" applyProtection="1">
      <alignment horizontal="left" vertical="top"/>
    </xf>
    <xf numFmtId="4" fontId="44" fillId="0" borderId="18" xfId="39" applyNumberFormat="1" applyFont="1" applyFill="1" applyBorder="1" applyAlignment="1" applyProtection="1">
      <alignment horizontal="right" vertical="top"/>
    </xf>
    <xf numFmtId="170" fontId="41" fillId="0" borderId="1" xfId="39" applyFont="1" applyFill="1" applyBorder="1" applyAlignment="1" applyProtection="1">
      <alignment vertical="center"/>
    </xf>
    <xf numFmtId="170" fontId="41" fillId="0" borderId="3" xfId="39" applyFont="1" applyFill="1" applyBorder="1" applyAlignment="1" applyProtection="1">
      <alignment vertical="center"/>
    </xf>
    <xf numFmtId="170" fontId="38" fillId="0" borderId="6" xfId="39" applyFont="1" applyFill="1" applyBorder="1" applyAlignment="1" applyProtection="1">
      <alignment horizontal="right" vertical="center"/>
    </xf>
    <xf numFmtId="4" fontId="38" fillId="0" borderId="18" xfId="39" applyNumberFormat="1" applyFont="1" applyFill="1" applyBorder="1" applyAlignment="1" applyProtection="1">
      <alignment horizontal="right" vertical="center"/>
    </xf>
    <xf numFmtId="0" fontId="41" fillId="0" borderId="0" xfId="40" applyFont="1" applyAlignment="1">
      <alignment vertical="center"/>
    </xf>
    <xf numFmtId="170" fontId="42" fillId="0" borderId="0" xfId="39" applyFont="1" applyFill="1" applyBorder="1" applyAlignment="1" applyProtection="1">
      <alignment horizontal="left" vertical="top"/>
    </xf>
    <xf numFmtId="172" fontId="42" fillId="0" borderId="0" xfId="39" applyNumberFormat="1" applyFont="1" applyFill="1" applyBorder="1" applyAlignment="1" applyProtection="1">
      <alignment horizontal="left" vertical="top"/>
    </xf>
    <xf numFmtId="4" fontId="41" fillId="0" borderId="0" xfId="39" applyNumberFormat="1" applyFont="1" applyFill="1" applyBorder="1" applyAlignment="1" applyProtection="1"/>
    <xf numFmtId="164" fontId="43" fillId="5" borderId="1" xfId="39" applyNumberFormat="1" applyFont="1" applyFill="1" applyBorder="1" applyAlignment="1" applyProtection="1">
      <alignment horizontal="left" vertical="top"/>
    </xf>
    <xf numFmtId="170" fontId="34" fillId="5" borderId="1" xfId="39" applyFont="1" applyFill="1" applyBorder="1" applyAlignment="1" applyProtection="1">
      <alignment vertical="top"/>
    </xf>
    <xf numFmtId="170" fontId="34" fillId="5" borderId="3" xfId="39" applyFont="1" applyFill="1" applyBorder="1" applyAlignment="1" applyProtection="1">
      <alignment vertical="top"/>
    </xf>
    <xf numFmtId="170" fontId="43" fillId="5" borderId="6" xfId="39" applyFont="1" applyFill="1" applyBorder="1" applyAlignment="1" applyProtection="1">
      <alignment horizontal="left" vertical="top"/>
    </xf>
    <xf numFmtId="4" fontId="43" fillId="5" borderId="18" xfId="39" applyNumberFormat="1" applyFont="1" applyFill="1" applyBorder="1" applyAlignment="1" applyProtection="1">
      <alignment horizontal="right" vertical="top"/>
    </xf>
    <xf numFmtId="165" fontId="44" fillId="6" borderId="1" xfId="39" applyNumberFormat="1" applyFont="1" applyFill="1" applyBorder="1" applyAlignment="1" applyProtection="1">
      <alignment horizontal="left" vertical="top"/>
    </xf>
    <xf numFmtId="170" fontId="44" fillId="6" borderId="6" xfId="39" applyFont="1" applyFill="1" applyBorder="1" applyAlignment="1" applyProtection="1">
      <alignment horizontal="left" vertical="top"/>
    </xf>
    <xf numFmtId="170" fontId="34" fillId="0" borderId="2" xfId="39" applyFont="1" applyFill="1" applyBorder="1" applyAlignment="1" applyProtection="1">
      <alignment vertical="top"/>
    </xf>
    <xf numFmtId="166" fontId="44" fillId="0" borderId="3" xfId="39" applyNumberFormat="1" applyFont="1" applyFill="1" applyBorder="1" applyAlignment="1" applyProtection="1">
      <alignment horizontal="left" vertical="top"/>
    </xf>
    <xf numFmtId="166" fontId="44" fillId="0" borderId="39" xfId="39" applyNumberFormat="1" applyFont="1" applyFill="1" applyBorder="1" applyAlignment="1" applyProtection="1">
      <alignment horizontal="left" vertical="top"/>
    </xf>
    <xf numFmtId="170" fontId="44" fillId="0" borderId="6" xfId="39" applyFont="1" applyFill="1" applyBorder="1" applyAlignment="1" applyProtection="1">
      <alignment horizontal="left" vertical="top" wrapText="1"/>
    </xf>
    <xf numFmtId="4" fontId="44" fillId="0" borderId="18" xfId="39" applyNumberFormat="1" applyFont="1" applyFill="1" applyBorder="1" applyAlignment="1" applyProtection="1">
      <alignment horizontal="right" vertical="top" wrapText="1"/>
    </xf>
    <xf numFmtId="170" fontId="44" fillId="0" borderId="10" xfId="39" applyFont="1" applyFill="1" applyBorder="1" applyAlignment="1" applyProtection="1">
      <alignment horizontal="left" vertical="top"/>
    </xf>
    <xf numFmtId="166" fontId="44" fillId="0" borderId="47" xfId="39" applyNumberFormat="1" applyFont="1" applyFill="1" applyBorder="1" applyAlignment="1" applyProtection="1">
      <alignment horizontal="left" vertical="top"/>
    </xf>
    <xf numFmtId="170" fontId="44" fillId="0" borderId="13" xfId="39" applyFont="1" applyFill="1" applyBorder="1" applyAlignment="1" applyProtection="1">
      <alignment horizontal="left" vertical="top"/>
    </xf>
    <xf numFmtId="4" fontId="44" fillId="0" borderId="20" xfId="39" applyNumberFormat="1" applyFont="1" applyFill="1" applyBorder="1" applyAlignment="1" applyProtection="1">
      <alignment horizontal="right" vertical="top"/>
    </xf>
    <xf numFmtId="170" fontId="41" fillId="0" borderId="14" xfId="39" applyFont="1" applyFill="1" applyBorder="1" applyAlignment="1" applyProtection="1">
      <alignment vertical="center"/>
    </xf>
    <xf numFmtId="4" fontId="38" fillId="0" borderId="94" xfId="39" applyNumberFormat="1" applyFont="1" applyFill="1" applyBorder="1" applyAlignment="1" applyProtection="1">
      <alignment horizontal="right" vertical="center"/>
    </xf>
    <xf numFmtId="0" fontId="103" fillId="0" borderId="0" xfId="0" applyFont="1" applyAlignment="1"/>
    <xf numFmtId="0" fontId="64" fillId="0" borderId="18" xfId="35" applyFont="1" applyBorder="1" applyAlignment="1">
      <alignment vertical="top" wrapText="1"/>
    </xf>
    <xf numFmtId="4" fontId="64" fillId="0" borderId="18" xfId="35" applyNumberFormat="1" applyFont="1" applyFill="1" applyBorder="1" applyAlignment="1">
      <alignment horizontal="right" vertical="center" wrapText="1"/>
    </xf>
    <xf numFmtId="4" fontId="64" fillId="0" borderId="60" xfId="35" applyNumberFormat="1" applyFont="1" applyFill="1" applyBorder="1" applyAlignment="1">
      <alignment horizontal="right" vertical="center" wrapText="1"/>
    </xf>
    <xf numFmtId="4" fontId="64" fillId="0" borderId="18" xfId="35" applyNumberFormat="1" applyFont="1" applyBorder="1"/>
    <xf numFmtId="0" fontId="0" fillId="0" borderId="18" xfId="0" applyBorder="1"/>
    <xf numFmtId="0" fontId="104" fillId="0" borderId="18" xfId="0" applyFont="1" applyBorder="1" applyAlignment="1">
      <alignment horizontal="center" vertical="center"/>
    </xf>
    <xf numFmtId="0" fontId="104" fillId="0" borderId="18" xfId="0" applyFont="1" applyBorder="1" applyAlignment="1">
      <alignment vertical="center" wrapText="1"/>
    </xf>
    <xf numFmtId="4" fontId="105" fillId="0" borderId="18" xfId="0" applyNumberFormat="1" applyFont="1" applyBorder="1"/>
    <xf numFmtId="4" fontId="105" fillId="0" borderId="18" xfId="0" applyNumberFormat="1" applyFont="1" applyBorder="1" applyAlignment="1">
      <alignment vertical="center"/>
    </xf>
    <xf numFmtId="4" fontId="104" fillId="0" borderId="60" xfId="0" applyNumberFormat="1" applyFont="1" applyBorder="1" applyAlignment="1">
      <alignment vertical="center"/>
    </xf>
    <xf numFmtId="4" fontId="104" fillId="0" borderId="18" xfId="0" applyNumberFormat="1" applyFont="1" applyBorder="1" applyAlignment="1">
      <alignment vertical="center"/>
    </xf>
    <xf numFmtId="0" fontId="105" fillId="0" borderId="0" xfId="0" applyFont="1"/>
    <xf numFmtId="0" fontId="12" fillId="0" borderId="0" xfId="41"/>
    <xf numFmtId="0" fontId="12" fillId="0" borderId="0" xfId="41" applyAlignment="1">
      <alignment vertical="center"/>
    </xf>
    <xf numFmtId="0" fontId="50" fillId="0" borderId="1" xfId="41" applyFont="1" applyBorder="1" applyAlignment="1">
      <alignment horizontal="center" vertical="center"/>
    </xf>
    <xf numFmtId="0" fontId="50" fillId="0" borderId="3" xfId="41" applyFont="1" applyBorder="1" applyAlignment="1">
      <alignment horizontal="center" vertical="center"/>
    </xf>
    <xf numFmtId="170" fontId="45" fillId="0" borderId="30" xfId="41" applyNumberFormat="1" applyFont="1" applyBorder="1" applyAlignment="1">
      <alignment horizontal="center" vertical="center" wrapText="1"/>
    </xf>
    <xf numFmtId="0" fontId="12" fillId="0" borderId="2" xfId="41" applyFont="1" applyBorder="1" applyAlignment="1">
      <alignment vertical="center"/>
    </xf>
    <xf numFmtId="0" fontId="95" fillId="0" borderId="2" xfId="41" applyFont="1" applyBorder="1" applyAlignment="1">
      <alignment vertical="center" wrapText="1"/>
    </xf>
    <xf numFmtId="167" fontId="95" fillId="0" borderId="30" xfId="41" applyNumberFormat="1" applyFont="1" applyBorder="1" applyAlignment="1">
      <alignment horizontal="right" vertical="center" wrapText="1"/>
    </xf>
    <xf numFmtId="0" fontId="12" fillId="0" borderId="11" xfId="41" applyFont="1" applyBorder="1" applyAlignment="1">
      <alignment vertical="top"/>
    </xf>
    <xf numFmtId="0" fontId="40" fillId="0" borderId="25" xfId="41" applyFont="1" applyBorder="1" applyAlignment="1">
      <alignment horizontal="left" vertical="center"/>
    </xf>
    <xf numFmtId="0" fontId="12" fillId="0" borderId="2" xfId="41" applyFont="1" applyBorder="1" applyAlignment="1">
      <alignment vertical="top"/>
    </xf>
    <xf numFmtId="170" fontId="95" fillId="0" borderId="30" xfId="41" applyNumberFormat="1" applyFont="1" applyBorder="1" applyAlignment="1">
      <alignment horizontal="center" vertical="center" wrapText="1"/>
    </xf>
    <xf numFmtId="0" fontId="106" fillId="0" borderId="2" xfId="41" applyFont="1" applyBorder="1" applyAlignment="1">
      <alignment vertical="center" wrapText="1"/>
    </xf>
    <xf numFmtId="170" fontId="95" fillId="0" borderId="2" xfId="41" applyNumberFormat="1" applyFont="1" applyBorder="1" applyAlignment="1">
      <alignment horizontal="center" vertical="center" wrapText="1"/>
    </xf>
    <xf numFmtId="0" fontId="107" fillId="0" borderId="14" xfId="41" applyFont="1" applyBorder="1" applyAlignment="1">
      <alignment vertical="center" wrapText="1"/>
    </xf>
    <xf numFmtId="170" fontId="96" fillId="0" borderId="47" xfId="41" applyNumberFormat="1" applyFont="1" applyBorder="1" applyAlignment="1">
      <alignment horizontal="center" vertical="center" wrapText="1"/>
    </xf>
    <xf numFmtId="0" fontId="12" fillId="0" borderId="14" xfId="41" applyFont="1" applyBorder="1" applyAlignment="1">
      <alignment vertical="top"/>
    </xf>
    <xf numFmtId="0" fontId="40" fillId="0" borderId="14" xfId="41" applyFont="1" applyBorder="1" applyAlignment="1">
      <alignment vertical="center" wrapText="1"/>
    </xf>
    <xf numFmtId="0" fontId="12" fillId="0" borderId="1" xfId="41" applyBorder="1" applyAlignment="1">
      <alignment vertical="center"/>
    </xf>
    <xf numFmtId="0" fontId="76" fillId="0" borderId="1" xfId="41" applyFont="1" applyBorder="1" applyAlignment="1">
      <alignment horizontal="right" vertical="center"/>
    </xf>
    <xf numFmtId="0" fontId="12" fillId="0" borderId="0" xfId="41" applyAlignment="1">
      <alignment horizontal="right"/>
    </xf>
    <xf numFmtId="43" fontId="12" fillId="0" borderId="0" xfId="41" applyNumberFormat="1"/>
    <xf numFmtId="43" fontId="57" fillId="0" borderId="68" xfId="35" applyNumberFormat="1" applyFont="1" applyFill="1" applyBorder="1" applyAlignment="1">
      <alignment horizontal="center" vertical="center" wrapText="1"/>
    </xf>
    <xf numFmtId="10" fontId="64" fillId="0" borderId="75" xfId="35" applyNumberFormat="1" applyFont="1" applyFill="1" applyBorder="1" applyAlignment="1">
      <alignment horizontal="right" vertical="center" wrapText="1"/>
    </xf>
    <xf numFmtId="10" fontId="105" fillId="0" borderId="75" xfId="0" applyNumberFormat="1" applyFont="1" applyBorder="1" applyAlignment="1">
      <alignment vertical="center"/>
    </xf>
    <xf numFmtId="10" fontId="105" fillId="0" borderId="0" xfId="0" applyNumberFormat="1" applyFont="1"/>
    <xf numFmtId="10" fontId="64" fillId="13" borderId="31" xfId="35" applyNumberFormat="1" applyFont="1" applyFill="1" applyBorder="1" applyAlignment="1">
      <alignment horizontal="right" vertical="center" wrapText="1"/>
    </xf>
    <xf numFmtId="10" fontId="64" fillId="0" borderId="18" xfId="35" applyNumberFormat="1" applyFont="1" applyBorder="1"/>
    <xf numFmtId="10" fontId="104" fillId="0" borderId="18" xfId="0" applyNumberFormat="1" applyFont="1" applyBorder="1" applyAlignment="1">
      <alignment vertical="center"/>
    </xf>
    <xf numFmtId="0" fontId="108" fillId="0" borderId="0" xfId="31" applyFont="1" applyBorder="1" applyAlignment="1">
      <alignment horizontal="center" vertical="center" wrapText="1"/>
    </xf>
    <xf numFmtId="0" fontId="109" fillId="0" borderId="87" xfId="31" applyFont="1" applyBorder="1" applyAlignment="1">
      <alignment vertical="center"/>
    </xf>
    <xf numFmtId="0" fontId="53" fillId="0" borderId="87" xfId="31" applyFont="1" applyBorder="1" applyAlignment="1">
      <alignment horizontal="center" vertical="center"/>
    </xf>
    <xf numFmtId="0" fontId="52" fillId="0" borderId="87" xfId="31" applyFont="1" applyBorder="1" applyAlignment="1">
      <alignment horizontal="center" vertical="center" wrapText="1"/>
    </xf>
    <xf numFmtId="0" fontId="53" fillId="0" borderId="84" xfId="31" applyFont="1" applyBorder="1" applyAlignment="1">
      <alignment horizontal="center" vertical="center" wrapText="1"/>
    </xf>
    <xf numFmtId="0" fontId="110" fillId="0" borderId="96" xfId="31" applyFont="1" applyBorder="1" applyAlignment="1">
      <alignment horizontal="center" vertical="center" wrapText="1"/>
    </xf>
    <xf numFmtId="0" fontId="16" fillId="0" borderId="98" xfId="31" applyBorder="1"/>
    <xf numFmtId="4" fontId="54" fillId="8" borderId="42" xfId="31" applyNumberFormat="1" applyFont="1" applyFill="1" applyBorder="1" applyAlignment="1">
      <alignment horizontal="right" vertical="top" wrapText="1"/>
    </xf>
    <xf numFmtId="0" fontId="16" fillId="0" borderId="99" xfId="31" applyBorder="1"/>
    <xf numFmtId="0" fontId="54" fillId="0" borderId="29" xfId="31" applyFont="1" applyBorder="1" applyAlignment="1">
      <alignment horizontal="left" vertical="top" wrapText="1"/>
    </xf>
    <xf numFmtId="4" fontId="54" fillId="0" borderId="29" xfId="31" applyNumberFormat="1" applyFont="1" applyBorder="1" applyAlignment="1">
      <alignment horizontal="right" vertical="top" wrapText="1"/>
    </xf>
    <xf numFmtId="4" fontId="54" fillId="0" borderId="42" xfId="31" applyNumberFormat="1" applyFont="1" applyBorder="1" applyAlignment="1">
      <alignment horizontal="right" vertical="top"/>
    </xf>
    <xf numFmtId="10" fontId="111" fillId="0" borderId="97" xfId="31" applyNumberFormat="1" applyFont="1" applyBorder="1" applyAlignment="1">
      <alignment horizontal="right" vertical="top"/>
    </xf>
    <xf numFmtId="0" fontId="54" fillId="0" borderId="18" xfId="31" quotePrefix="1" applyFont="1" applyBorder="1" applyAlignment="1">
      <alignment horizontal="left" vertical="top"/>
    </xf>
    <xf numFmtId="0" fontId="54" fillId="0" borderId="18" xfId="31" applyFont="1" applyBorder="1" applyAlignment="1">
      <alignment horizontal="left" vertical="top"/>
    </xf>
    <xf numFmtId="4" fontId="54" fillId="0" borderId="57" xfId="31" applyNumberFormat="1" applyFont="1" applyBorder="1" applyAlignment="1">
      <alignment horizontal="right" vertical="top" wrapText="1"/>
    </xf>
    <xf numFmtId="0" fontId="16" fillId="0" borderId="95" xfId="31" applyBorder="1"/>
    <xf numFmtId="4" fontId="27" fillId="0" borderId="87" xfId="31" applyNumberFormat="1" applyFont="1" applyBorder="1" applyAlignment="1">
      <alignment horizontal="right"/>
    </xf>
    <xf numFmtId="4" fontId="27" fillId="0" borderId="84" xfId="31" applyNumberFormat="1" applyFont="1" applyBorder="1" applyAlignment="1">
      <alignment horizontal="right"/>
    </xf>
    <xf numFmtId="0" fontId="53" fillId="0" borderId="87" xfId="31" applyFont="1" applyBorder="1" applyAlignment="1">
      <alignment horizontal="center" vertical="center" wrapText="1"/>
    </xf>
    <xf numFmtId="0" fontId="53" fillId="0" borderId="85" xfId="31" applyFont="1" applyBorder="1" applyAlignment="1">
      <alignment horizontal="center" vertical="center" wrapText="1"/>
    </xf>
    <xf numFmtId="0" fontId="109" fillId="0" borderId="101" xfId="31" applyFont="1" applyBorder="1" applyAlignment="1">
      <alignment vertical="center" wrapText="1"/>
    </xf>
    <xf numFmtId="0" fontId="16" fillId="0" borderId="103" xfId="31" applyBorder="1" applyAlignment="1">
      <alignment vertical="top"/>
    </xf>
    <xf numFmtId="4" fontId="53" fillId="8" borderId="18" xfId="31" applyNumberFormat="1" applyFont="1" applyFill="1" applyBorder="1" applyAlignment="1">
      <alignment horizontal="right" vertical="top" wrapText="1"/>
    </xf>
    <xf numFmtId="0" fontId="16" fillId="0" borderId="99" xfId="31" applyBorder="1" applyAlignment="1">
      <alignment vertical="top"/>
    </xf>
    <xf numFmtId="0" fontId="54" fillId="9" borderId="57" xfId="31" applyFont="1" applyFill="1" applyBorder="1" applyAlignment="1">
      <alignment horizontal="left" vertical="top"/>
    </xf>
    <xf numFmtId="0" fontId="54" fillId="9" borderId="29" xfId="31" applyFont="1" applyFill="1" applyBorder="1" applyAlignment="1">
      <alignment horizontal="left" vertical="top" wrapText="1"/>
    </xf>
    <xf numFmtId="4" fontId="54" fillId="9" borderId="29" xfId="31" applyNumberFormat="1" applyFont="1" applyFill="1" applyBorder="1" applyAlignment="1">
      <alignment horizontal="right" vertical="top" wrapText="1"/>
    </xf>
    <xf numFmtId="4" fontId="54" fillId="9" borderId="93" xfId="31" applyNumberFormat="1" applyFont="1" applyFill="1" applyBorder="1" applyAlignment="1">
      <alignment horizontal="right" vertical="top"/>
    </xf>
    <xf numFmtId="10" fontId="54" fillId="9" borderId="104" xfId="31" applyNumberFormat="1" applyFont="1" applyFill="1" applyBorder="1" applyAlignment="1">
      <alignment horizontal="right" vertical="top"/>
    </xf>
    <xf numFmtId="4" fontId="16" fillId="0" borderId="80" xfId="31" applyNumberFormat="1" applyBorder="1" applyAlignment="1">
      <alignment vertical="top"/>
    </xf>
    <xf numFmtId="4" fontId="54" fillId="0" borderId="93" xfId="31" applyNumberFormat="1" applyFont="1" applyBorder="1" applyAlignment="1">
      <alignment horizontal="right" vertical="top" wrapText="1"/>
    </xf>
    <xf numFmtId="49" fontId="31" fillId="9" borderId="29" xfId="31" applyNumberFormat="1" applyFont="1" applyFill="1" applyBorder="1" applyAlignment="1">
      <alignment horizontal="left" vertical="top"/>
    </xf>
    <xf numFmtId="0" fontId="31" fillId="0" borderId="29" xfId="31" applyFont="1" applyBorder="1" applyAlignment="1">
      <alignment horizontal="left" vertical="top" wrapText="1"/>
    </xf>
    <xf numFmtId="4" fontId="31" fillId="0" borderId="29" xfId="31" applyNumberFormat="1" applyFont="1" applyBorder="1" applyAlignment="1">
      <alignment horizontal="right" vertical="top" wrapText="1"/>
    </xf>
    <xf numFmtId="4" fontId="31" fillId="9" borderId="93" xfId="31" applyNumberFormat="1" applyFont="1" applyFill="1" applyBorder="1" applyAlignment="1">
      <alignment horizontal="right" vertical="top"/>
    </xf>
    <xf numFmtId="0" fontId="16" fillId="0" borderId="105" xfId="31" applyBorder="1" applyAlignment="1">
      <alignment vertical="top"/>
    </xf>
    <xf numFmtId="49" fontId="31" fillId="9" borderId="57" xfId="31" applyNumberFormat="1" applyFont="1" applyFill="1" applyBorder="1" applyAlignment="1">
      <alignment horizontal="left" vertical="top"/>
    </xf>
    <xf numFmtId="0" fontId="31" fillId="0" borderId="57" xfId="31" applyFont="1" applyBorder="1" applyAlignment="1">
      <alignment horizontal="left" vertical="top" wrapText="1"/>
    </xf>
    <xf numFmtId="4" fontId="31" fillId="9" borderId="0" xfId="31" applyNumberFormat="1" applyFont="1" applyFill="1" applyBorder="1" applyAlignment="1">
      <alignment horizontal="right" vertical="top"/>
    </xf>
    <xf numFmtId="10" fontId="54" fillId="9" borderId="100" xfId="31" applyNumberFormat="1" applyFont="1" applyFill="1" applyBorder="1" applyAlignment="1">
      <alignment horizontal="right" vertical="top"/>
    </xf>
    <xf numFmtId="4" fontId="29" fillId="0" borderId="98" xfId="31" applyNumberFormat="1" applyFont="1" applyBorder="1" applyAlignment="1">
      <alignment vertical="top"/>
    </xf>
    <xf numFmtId="4" fontId="31" fillId="0" borderId="98" xfId="31" applyNumberFormat="1" applyFont="1" applyBorder="1" applyAlignment="1">
      <alignment vertical="top"/>
    </xf>
    <xf numFmtId="49" fontId="54" fillId="9" borderId="18" xfId="31" applyNumberFormat="1" applyFont="1" applyFill="1" applyBorder="1" applyAlignment="1">
      <alignment horizontal="left" vertical="top"/>
    </xf>
    <xf numFmtId="0" fontId="54" fillId="0" borderId="18" xfId="31" applyFont="1" applyBorder="1" applyAlignment="1">
      <alignment horizontal="left" vertical="top" wrapText="1"/>
    </xf>
    <xf numFmtId="4" fontId="54" fillId="0" borderId="18" xfId="31" applyNumberFormat="1" applyFont="1" applyBorder="1" applyAlignment="1">
      <alignment horizontal="right" vertical="top" wrapText="1"/>
    </xf>
    <xf numFmtId="4" fontId="54" fillId="9" borderId="24" xfId="31" applyNumberFormat="1" applyFont="1" applyFill="1" applyBorder="1" applyAlignment="1">
      <alignment horizontal="right" vertical="top"/>
    </xf>
    <xf numFmtId="10" fontId="54" fillId="9" borderId="97" xfId="31" applyNumberFormat="1" applyFont="1" applyFill="1" applyBorder="1" applyAlignment="1">
      <alignment horizontal="right" vertical="top"/>
    </xf>
    <xf numFmtId="4" fontId="16" fillId="0" borderId="24" xfId="31" applyNumberFormat="1" applyFont="1" applyBorder="1" applyAlignment="1">
      <alignment vertical="top"/>
    </xf>
    <xf numFmtId="0" fontId="30" fillId="0" borderId="18" xfId="31" applyFont="1" applyBorder="1" applyAlignment="1">
      <alignment horizontal="left" vertical="top" wrapText="1"/>
    </xf>
    <xf numFmtId="4" fontId="30" fillId="0" borderId="29" xfId="31" applyNumberFormat="1" applyFont="1" applyBorder="1" applyAlignment="1">
      <alignment horizontal="right" vertical="top" wrapText="1"/>
    </xf>
    <xf numFmtId="4" fontId="30" fillId="0" borderId="93" xfId="31" applyNumberFormat="1" applyFont="1" applyBorder="1" applyAlignment="1">
      <alignment horizontal="right" vertical="top"/>
    </xf>
    <xf numFmtId="10" fontId="30" fillId="0" borderId="104" xfId="31" applyNumberFormat="1" applyFont="1" applyBorder="1" applyAlignment="1">
      <alignment horizontal="right" vertical="top"/>
    </xf>
    <xf numFmtId="4" fontId="30" fillId="0" borderId="80" xfId="31" applyNumberFormat="1" applyFont="1" applyBorder="1" applyAlignment="1">
      <alignment vertical="top"/>
    </xf>
    <xf numFmtId="49" fontId="47" fillId="2" borderId="106" xfId="42" applyNumberFormat="1" applyFont="1" applyFill="1" applyBorder="1" applyAlignment="1" applyProtection="1">
      <alignment horizontal="left" vertical="center" wrapText="1"/>
      <protection locked="0"/>
    </xf>
    <xf numFmtId="4" fontId="45" fillId="0" borderId="80" xfId="31" applyNumberFormat="1" applyFont="1" applyBorder="1" applyAlignment="1">
      <alignment vertical="top"/>
    </xf>
    <xf numFmtId="49" fontId="113" fillId="2" borderId="18" xfId="42" applyNumberFormat="1" applyFont="1" applyFill="1" applyBorder="1" applyAlignment="1" applyProtection="1">
      <alignment horizontal="left" vertical="center" wrapText="1"/>
      <protection locked="0"/>
    </xf>
    <xf numFmtId="4" fontId="96" fillId="0" borderId="29" xfId="31" applyNumberFormat="1" applyFont="1" applyBorder="1" applyAlignment="1">
      <alignment horizontal="right" vertical="top" wrapText="1"/>
    </xf>
    <xf numFmtId="4" fontId="96" fillId="0" borderId="93" xfId="31" applyNumberFormat="1" applyFont="1" applyBorder="1" applyAlignment="1">
      <alignment horizontal="right" vertical="top"/>
    </xf>
    <xf numFmtId="4" fontId="96" fillId="0" borderId="80" xfId="31" applyNumberFormat="1" applyFont="1" applyBorder="1" applyAlignment="1">
      <alignment vertical="top"/>
    </xf>
    <xf numFmtId="49" fontId="113" fillId="2" borderId="18" xfId="42" applyNumberFormat="1" applyFont="1" applyFill="1" applyBorder="1" applyAlignment="1" applyProtection="1">
      <alignment horizontal="left" vertical="top" wrapText="1"/>
      <protection locked="0"/>
    </xf>
    <xf numFmtId="0" fontId="54" fillId="0" borderId="29" xfId="31" applyFont="1" applyBorder="1" applyAlignment="1">
      <alignment horizontal="left" vertical="top"/>
    </xf>
    <xf numFmtId="0" fontId="30" fillId="0" borderId="29" xfId="31" applyFont="1" applyBorder="1" applyAlignment="1">
      <alignment horizontal="left" vertical="top" wrapText="1"/>
    </xf>
    <xf numFmtId="4" fontId="30" fillId="0" borderId="18" xfId="31" applyNumberFormat="1" applyFont="1" applyBorder="1" applyAlignment="1">
      <alignment horizontal="right" vertical="top" wrapText="1"/>
    </xf>
    <xf numFmtId="4" fontId="30" fillId="0" borderId="24" xfId="31" applyNumberFormat="1" applyFont="1" applyBorder="1" applyAlignment="1">
      <alignment horizontal="right" vertical="top" wrapText="1"/>
    </xf>
    <xf numFmtId="4" fontId="54" fillId="0" borderId="24" xfId="31" applyNumberFormat="1" applyFont="1" applyBorder="1" applyAlignment="1">
      <alignment horizontal="right" vertical="top" wrapText="1"/>
    </xf>
    <xf numFmtId="49" fontId="54" fillId="0" borderId="18" xfId="31" applyNumberFormat="1" applyFont="1" applyBorder="1" applyAlignment="1">
      <alignment horizontal="left" vertical="top" wrapText="1"/>
    </xf>
    <xf numFmtId="49" fontId="54" fillId="0" borderId="57" xfId="31" applyNumberFormat="1" applyFont="1" applyBorder="1" applyAlignment="1">
      <alignment horizontal="left" vertical="top" wrapText="1"/>
    </xf>
    <xf numFmtId="0" fontId="16" fillId="0" borderId="95" xfId="31" applyBorder="1" applyAlignment="1">
      <alignment vertical="top"/>
    </xf>
    <xf numFmtId="0" fontId="16" fillId="0" borderId="87" xfId="31" applyBorder="1" applyAlignment="1">
      <alignment horizontal="left" vertical="top"/>
    </xf>
    <xf numFmtId="0" fontId="27" fillId="0" borderId="87" xfId="31" applyFont="1" applyBorder="1" applyAlignment="1">
      <alignment horizontal="right"/>
    </xf>
    <xf numFmtId="0" fontId="114" fillId="0" borderId="0" xfId="31" applyFont="1" applyBorder="1"/>
    <xf numFmtId="0" fontId="111" fillId="0" borderId="0" xfId="31" applyFont="1" applyBorder="1" applyAlignment="1">
      <alignment horizontal="left" vertical="top" wrapText="1"/>
    </xf>
    <xf numFmtId="0" fontId="111" fillId="0" borderId="0" xfId="31" applyFont="1" applyBorder="1" applyAlignment="1">
      <alignment horizontal="left" vertical="top"/>
    </xf>
    <xf numFmtId="0" fontId="16" fillId="0" borderId="0" xfId="31" applyBorder="1" applyAlignment="1">
      <alignment horizontal="left" vertical="top"/>
    </xf>
    <xf numFmtId="0" fontId="16" fillId="0" borderId="0" xfId="31" applyAlignment="1">
      <alignment horizontal="left" vertical="top"/>
    </xf>
    <xf numFmtId="4" fontId="16" fillId="0" borderId="0" xfId="31" applyNumberFormat="1" applyBorder="1"/>
    <xf numFmtId="4" fontId="27" fillId="7" borderId="15" xfId="31" applyNumberFormat="1" applyFont="1" applyFill="1" applyBorder="1" applyAlignment="1">
      <alignment horizontal="right" vertical="top" wrapText="1"/>
    </xf>
    <xf numFmtId="4" fontId="53" fillId="7" borderId="15" xfId="31" applyNumberFormat="1" applyFont="1" applyFill="1" applyBorder="1" applyAlignment="1">
      <alignment horizontal="right" vertical="top"/>
    </xf>
    <xf numFmtId="0" fontId="27" fillId="7" borderId="107" xfId="31" applyFont="1" applyFill="1" applyBorder="1" applyAlignment="1">
      <alignment horizontal="left" vertical="top"/>
    </xf>
    <xf numFmtId="0" fontId="27" fillId="7" borderId="32" xfId="31" applyFont="1" applyFill="1" applyBorder="1" applyAlignment="1">
      <alignment horizontal="left" vertical="top"/>
    </xf>
    <xf numFmtId="0" fontId="27" fillId="7" borderId="15" xfId="31" applyFont="1" applyFill="1" applyBorder="1" applyAlignment="1">
      <alignment horizontal="left" vertical="top" wrapText="1"/>
    </xf>
    <xf numFmtId="4" fontId="27" fillId="7" borderId="22" xfId="31" applyNumberFormat="1" applyFont="1" applyFill="1" applyBorder="1" applyAlignment="1">
      <alignment horizontal="right" vertical="top"/>
    </xf>
    <xf numFmtId="10" fontId="27" fillId="7" borderId="102" xfId="31" applyNumberFormat="1" applyFont="1" applyFill="1" applyBorder="1" applyAlignment="1">
      <alignment horizontal="right" vertical="top"/>
    </xf>
    <xf numFmtId="4" fontId="27" fillId="7" borderId="27" xfId="31" applyNumberFormat="1" applyFont="1" applyFill="1" applyBorder="1" applyAlignment="1">
      <alignment horizontal="right" vertical="top"/>
    </xf>
    <xf numFmtId="0" fontId="53" fillId="7" borderId="15" xfId="31" applyFont="1" applyFill="1" applyBorder="1" applyAlignment="1">
      <alignment horizontal="left" vertical="top" wrapText="1"/>
    </xf>
    <xf numFmtId="0" fontId="16" fillId="0" borderId="69" xfId="31" applyBorder="1" applyAlignment="1">
      <alignment horizontal="left"/>
    </xf>
    <xf numFmtId="0" fontId="54" fillId="0" borderId="69" xfId="31" quotePrefix="1" applyFont="1" applyBorder="1" applyAlignment="1">
      <alignment horizontal="left"/>
    </xf>
    <xf numFmtId="0" fontId="55" fillId="0" borderId="69" xfId="31" applyFont="1" applyBorder="1" applyAlignment="1">
      <alignment horizontal="right"/>
    </xf>
    <xf numFmtId="4" fontId="27" fillId="0" borderId="69" xfId="31" applyNumberFormat="1" applyFont="1" applyBorder="1" applyAlignment="1">
      <alignment horizontal="right"/>
    </xf>
    <xf numFmtId="0" fontId="27" fillId="7" borderId="15" xfId="31" applyFont="1" applyFill="1" applyBorder="1" applyAlignment="1">
      <alignment horizontal="left" vertical="top"/>
    </xf>
    <xf numFmtId="4" fontId="53" fillId="7" borderId="27" xfId="31" applyNumberFormat="1" applyFont="1" applyFill="1" applyBorder="1" applyAlignment="1">
      <alignment horizontal="right" vertical="top"/>
    </xf>
    <xf numFmtId="4" fontId="27" fillId="0" borderId="81" xfId="31" applyNumberFormat="1" applyFont="1" applyBorder="1" applyAlignment="1">
      <alignment horizontal="right"/>
    </xf>
    <xf numFmtId="4" fontId="53" fillId="7" borderId="32" xfId="31" applyNumberFormat="1" applyFont="1" applyFill="1" applyBorder="1" applyAlignment="1">
      <alignment horizontal="right" vertical="top"/>
    </xf>
    <xf numFmtId="4" fontId="54" fillId="8" borderId="60" xfId="31" applyNumberFormat="1" applyFont="1" applyFill="1" applyBorder="1" applyAlignment="1">
      <alignment horizontal="right" vertical="top" wrapText="1"/>
    </xf>
    <xf numFmtId="4" fontId="54" fillId="0" borderId="60" xfId="31" applyNumberFormat="1" applyFont="1" applyBorder="1" applyAlignment="1">
      <alignment vertical="top"/>
    </xf>
    <xf numFmtId="4" fontId="27" fillId="0" borderId="70" xfId="31" applyNumberFormat="1" applyFont="1" applyBorder="1" applyAlignment="1">
      <alignment horizontal="right"/>
    </xf>
    <xf numFmtId="0" fontId="52" fillId="0" borderId="96" xfId="31" applyFont="1" applyBorder="1" applyAlignment="1">
      <alignment vertical="top" wrapText="1"/>
    </xf>
    <xf numFmtId="4" fontId="53" fillId="7" borderId="102" xfId="31" applyNumberFormat="1" applyFont="1" applyFill="1" applyBorder="1" applyAlignment="1">
      <alignment horizontal="right" vertical="top"/>
    </xf>
    <xf numFmtId="4" fontId="54" fillId="8" borderId="97" xfId="31" applyNumberFormat="1" applyFont="1" applyFill="1" applyBorder="1" applyAlignment="1">
      <alignment horizontal="right" vertical="top" wrapText="1"/>
    </xf>
    <xf numFmtId="4" fontId="54" fillId="0" borderId="97" xfId="31" applyNumberFormat="1" applyFont="1" applyBorder="1" applyAlignment="1">
      <alignment vertical="top"/>
    </xf>
    <xf numFmtId="4" fontId="27" fillId="0" borderId="109" xfId="31" applyNumberFormat="1" applyFont="1" applyBorder="1" applyAlignment="1">
      <alignment horizontal="right"/>
    </xf>
    <xf numFmtId="4" fontId="16" fillId="0" borderId="104" xfId="31" applyNumberFormat="1" applyBorder="1" applyAlignment="1">
      <alignment vertical="top"/>
    </xf>
    <xf numFmtId="0" fontId="109" fillId="0" borderId="87" xfId="31" applyFont="1" applyBorder="1" applyAlignment="1">
      <alignment horizontal="left" vertical="center"/>
    </xf>
    <xf numFmtId="49" fontId="11" fillId="2" borderId="40" xfId="42" applyNumberFormat="1" applyFont="1" applyFill="1" applyBorder="1" applyAlignment="1" applyProtection="1">
      <alignment vertical="top" wrapText="1"/>
      <protection locked="0"/>
    </xf>
    <xf numFmtId="49" fontId="11" fillId="2" borderId="27" xfId="42" applyNumberFormat="1" applyFont="1" applyFill="1" applyBorder="1" applyAlignment="1" applyProtection="1">
      <alignment vertical="top" wrapText="1"/>
      <protection locked="0"/>
    </xf>
    <xf numFmtId="0" fontId="54" fillId="0" borderId="29" xfId="31" applyFont="1" applyBorder="1" applyAlignment="1">
      <alignment vertical="top"/>
    </xf>
    <xf numFmtId="0" fontId="54" fillId="0" borderId="57" xfId="31" applyFont="1" applyBorder="1" applyAlignment="1">
      <alignment vertical="top"/>
    </xf>
    <xf numFmtId="0" fontId="54" fillId="0" borderId="15" xfId="31" applyFont="1" applyBorder="1" applyAlignment="1">
      <alignment vertical="top"/>
    </xf>
    <xf numFmtId="49" fontId="47" fillId="2" borderId="46" xfId="42" applyNumberFormat="1" applyFont="1" applyFill="1" applyBorder="1" applyAlignment="1" applyProtection="1">
      <alignment vertical="top" wrapText="1"/>
      <protection locked="0"/>
    </xf>
    <xf numFmtId="0" fontId="54" fillId="0" borderId="57" xfId="31" applyFont="1" applyBorder="1" applyAlignment="1">
      <alignment horizontal="left" vertical="top"/>
    </xf>
    <xf numFmtId="4" fontId="31" fillId="0" borderId="57" xfId="31" applyNumberFormat="1" applyFont="1" applyBorder="1" applyAlignment="1">
      <alignment horizontal="right" vertical="center" wrapText="1"/>
    </xf>
    <xf numFmtId="4" fontId="31" fillId="9" borderId="0" xfId="31" applyNumberFormat="1" applyFont="1" applyFill="1" applyBorder="1" applyAlignment="1">
      <alignment horizontal="right" vertical="center"/>
    </xf>
    <xf numFmtId="4" fontId="30" fillId="0" borderId="93" xfId="31" applyNumberFormat="1" applyFont="1" applyBorder="1" applyAlignment="1">
      <alignment horizontal="right" vertical="top" wrapText="1"/>
    </xf>
    <xf numFmtId="4" fontId="31" fillId="0" borderId="18" xfId="31" applyNumberFormat="1" applyFont="1" applyBorder="1" applyAlignment="1">
      <alignment horizontal="right" vertical="top" wrapText="1"/>
    </xf>
    <xf numFmtId="4" fontId="31" fillId="0" borderId="24" xfId="31" applyNumberFormat="1" applyFont="1" applyBorder="1" applyAlignment="1">
      <alignment horizontal="right" vertical="top" wrapText="1"/>
    </xf>
    <xf numFmtId="4" fontId="16" fillId="0" borderId="98" xfId="31" applyNumberFormat="1" applyBorder="1" applyAlignment="1">
      <alignment vertical="top"/>
    </xf>
    <xf numFmtId="49" fontId="54" fillId="0" borderId="29" xfId="31" applyNumberFormat="1" applyFont="1" applyBorder="1" applyAlignment="1">
      <alignment horizontal="left" vertical="top" wrapText="1"/>
    </xf>
    <xf numFmtId="10" fontId="53" fillId="8" borderId="97" xfId="31" applyNumberFormat="1" applyFont="1" applyFill="1" applyBorder="1" applyAlignment="1">
      <alignment horizontal="right" vertical="top"/>
    </xf>
    <xf numFmtId="4" fontId="53" fillId="8" borderId="42" xfId="31" applyNumberFormat="1" applyFont="1" applyFill="1" applyBorder="1" applyAlignment="1">
      <alignment horizontal="right" vertical="top"/>
    </xf>
    <xf numFmtId="0" fontId="30" fillId="0" borderId="15" xfId="31" applyFont="1" applyBorder="1" applyAlignment="1">
      <alignment horizontal="left" vertical="top"/>
    </xf>
    <xf numFmtId="49" fontId="30" fillId="0" borderId="15" xfId="31" applyNumberFormat="1" applyFont="1" applyBorder="1" applyAlignment="1">
      <alignment horizontal="left" vertical="top" wrapText="1"/>
    </xf>
    <xf numFmtId="10" fontId="30" fillId="0" borderId="102" xfId="31" applyNumberFormat="1" applyFont="1" applyBorder="1" applyAlignment="1">
      <alignment horizontal="right" vertical="top"/>
    </xf>
    <xf numFmtId="4" fontId="30" fillId="0" borderId="102" xfId="31" applyNumberFormat="1" applyFont="1" applyBorder="1" applyAlignment="1">
      <alignment vertical="top"/>
    </xf>
    <xf numFmtId="10" fontId="54" fillId="0" borderId="104" xfId="31" applyNumberFormat="1" applyFont="1" applyBorder="1" applyAlignment="1">
      <alignment horizontal="right" vertical="top"/>
    </xf>
    <xf numFmtId="10" fontId="31" fillId="0" borderId="104" xfId="31" applyNumberFormat="1" applyFont="1" applyBorder="1" applyAlignment="1">
      <alignment horizontal="right" vertical="top"/>
    </xf>
    <xf numFmtId="10" fontId="27" fillId="0" borderId="96" xfId="31" applyNumberFormat="1" applyFont="1" applyBorder="1" applyAlignment="1">
      <alignment horizontal="right"/>
    </xf>
    <xf numFmtId="0" fontId="112" fillId="0" borderId="98" xfId="31" applyFont="1" applyBorder="1" applyAlignment="1">
      <alignment vertical="top" wrapText="1"/>
    </xf>
    <xf numFmtId="10" fontId="16" fillId="0" borderId="98" xfId="31" applyNumberFormat="1" applyBorder="1"/>
    <xf numFmtId="10" fontId="16" fillId="0" borderId="98" xfId="31" applyNumberFormat="1" applyBorder="1" applyAlignment="1">
      <alignment vertical="top"/>
    </xf>
    <xf numFmtId="10" fontId="31" fillId="0" borderId="98" xfId="31" applyNumberFormat="1" applyFont="1" applyBorder="1" applyAlignment="1">
      <alignment vertical="top"/>
    </xf>
    <xf numFmtId="4" fontId="54" fillId="0" borderId="98" xfId="31" applyNumberFormat="1" applyFont="1" applyBorder="1" applyAlignment="1">
      <alignment horizontal="right" vertical="top" wrapText="1"/>
    </xf>
    <xf numFmtId="4" fontId="30" fillId="0" borderId="98" xfId="31" applyNumberFormat="1" applyFont="1" applyBorder="1" applyAlignment="1">
      <alignment horizontal="right" vertical="top" wrapText="1"/>
    </xf>
    <xf numFmtId="4" fontId="45" fillId="0" borderId="98" xfId="31" applyNumberFormat="1" applyFont="1" applyBorder="1" applyAlignment="1">
      <alignment horizontal="right" vertical="top" wrapText="1"/>
    </xf>
    <xf numFmtId="4" fontId="96" fillId="0" borderId="98" xfId="31" applyNumberFormat="1" applyFont="1" applyBorder="1" applyAlignment="1">
      <alignment horizontal="right" vertical="top" wrapText="1"/>
    </xf>
    <xf numFmtId="0" fontId="16" fillId="0" borderId="98" xfId="31" applyBorder="1" applyAlignment="1">
      <alignment vertical="top"/>
    </xf>
    <xf numFmtId="0" fontId="30" fillId="0" borderId="98" xfId="31" applyFont="1" applyBorder="1" applyAlignment="1">
      <alignment vertical="top"/>
    </xf>
    <xf numFmtId="10" fontId="27" fillId="9" borderId="98" xfId="31" applyNumberFormat="1" applyFont="1" applyFill="1" applyBorder="1" applyAlignment="1">
      <alignment vertical="top"/>
    </xf>
    <xf numFmtId="10" fontId="53" fillId="9" borderId="98" xfId="31" applyNumberFormat="1" applyFont="1" applyFill="1" applyBorder="1" applyAlignment="1">
      <alignment horizontal="right" vertical="top"/>
    </xf>
    <xf numFmtId="4" fontId="45" fillId="0" borderId="18" xfId="31" applyNumberFormat="1" applyFont="1" applyBorder="1" applyAlignment="1">
      <alignment horizontal="right" vertical="top" wrapText="1"/>
    </xf>
    <xf numFmtId="4" fontId="45" fillId="0" borderId="24" xfId="31" applyNumberFormat="1" applyFont="1" applyBorder="1" applyAlignment="1">
      <alignment horizontal="right" vertical="top" wrapText="1"/>
    </xf>
    <xf numFmtId="4" fontId="54" fillId="0" borderId="24" xfId="31" applyNumberFormat="1" applyFont="1" applyBorder="1" applyAlignment="1">
      <alignment horizontal="right" vertical="top"/>
    </xf>
    <xf numFmtId="4" fontId="54" fillId="0" borderId="46" xfId="31" applyNumberFormat="1" applyFont="1" applyBorder="1" applyAlignment="1">
      <alignment horizontal="right" vertical="top"/>
    </xf>
    <xf numFmtId="4" fontId="30" fillId="0" borderId="15" xfId="31" applyNumberFormat="1" applyFont="1" applyBorder="1" applyAlignment="1">
      <alignment horizontal="right" vertical="top" wrapText="1"/>
    </xf>
    <xf numFmtId="4" fontId="30" fillId="0" borderId="22" xfId="31" applyNumberFormat="1" applyFont="1" applyBorder="1" applyAlignment="1">
      <alignment horizontal="right" vertical="top"/>
    </xf>
    <xf numFmtId="4" fontId="54" fillId="0" borderId="0" xfId="31" applyNumberFormat="1" applyFont="1" applyBorder="1" applyAlignment="1">
      <alignment horizontal="right" vertical="top"/>
    </xf>
    <xf numFmtId="10" fontId="54" fillId="0" borderId="100" xfId="31" applyNumberFormat="1" applyFont="1" applyBorder="1" applyAlignment="1">
      <alignment horizontal="right" vertical="top"/>
    </xf>
    <xf numFmtId="0" fontId="16" fillId="0" borderId="0" xfId="31" applyFont="1" applyBorder="1"/>
    <xf numFmtId="4" fontId="16" fillId="0" borderId="0" xfId="31" applyNumberFormat="1" applyFont="1" applyBorder="1" applyAlignment="1">
      <alignment horizontal="left"/>
    </xf>
    <xf numFmtId="4" fontId="27" fillId="0" borderId="0" xfId="31" applyNumberFormat="1" applyFont="1" applyAlignment="1">
      <alignment horizontal="left"/>
    </xf>
    <xf numFmtId="4" fontId="16" fillId="0" borderId="0" xfId="31" applyNumberFormat="1" applyFont="1" applyBorder="1" applyAlignment="1">
      <alignment horizontal="left" vertical="top"/>
    </xf>
    <xf numFmtId="10" fontId="110" fillId="0" borderId="96" xfId="31" applyNumberFormat="1" applyFont="1" applyBorder="1" applyAlignment="1">
      <alignment horizontal="center" vertical="center" wrapText="1"/>
    </xf>
    <xf numFmtId="10" fontId="53" fillId="7" borderId="102" xfId="31" applyNumberFormat="1" applyFont="1" applyFill="1" applyBorder="1" applyAlignment="1">
      <alignment horizontal="right" vertical="top"/>
    </xf>
    <xf numFmtId="10" fontId="54" fillId="8" borderId="97" xfId="31" applyNumberFormat="1" applyFont="1" applyFill="1" applyBorder="1" applyAlignment="1">
      <alignment horizontal="right" vertical="top" wrapText="1"/>
    </xf>
    <xf numFmtId="10" fontId="27" fillId="0" borderId="109" xfId="31" applyNumberFormat="1" applyFont="1" applyBorder="1" applyAlignment="1">
      <alignment horizontal="right"/>
    </xf>
    <xf numFmtId="0" fontId="3" fillId="0" borderId="18" xfId="11" applyBorder="1" applyAlignment="1"/>
    <xf numFmtId="43" fontId="57" fillId="0" borderId="110" xfId="35" applyNumberFormat="1" applyFont="1" applyFill="1" applyBorder="1" applyAlignment="1">
      <alignment horizontal="center" vertical="center" wrapText="1"/>
    </xf>
    <xf numFmtId="10" fontId="59" fillId="8" borderId="32" xfId="35" applyNumberFormat="1" applyFont="1" applyFill="1" applyBorder="1" applyAlignment="1">
      <alignment horizontal="right" vertical="top" wrapText="1"/>
    </xf>
    <xf numFmtId="10" fontId="60" fillId="0" borderId="32" xfId="35" applyNumberFormat="1" applyFont="1" applyBorder="1" applyAlignment="1">
      <alignment horizontal="right" vertical="top" wrapText="1"/>
    </xf>
    <xf numFmtId="10" fontId="60" fillId="0" borderId="31" xfId="35" applyNumberFormat="1" applyFont="1" applyBorder="1" applyAlignment="1">
      <alignment horizontal="right" vertical="top" wrapText="1"/>
    </xf>
    <xf numFmtId="10" fontId="60" fillId="0" borderId="60" xfId="35" applyNumberFormat="1" applyFont="1" applyBorder="1" applyAlignment="1">
      <alignment horizontal="right" vertical="top" wrapText="1"/>
    </xf>
    <xf numFmtId="10" fontId="59" fillId="8" borderId="18" xfId="35" applyNumberFormat="1" applyFont="1" applyFill="1" applyBorder="1" applyAlignment="1">
      <alignment horizontal="right" vertical="top" wrapText="1"/>
    </xf>
    <xf numFmtId="10" fontId="59" fillId="0" borderId="61" xfId="35" applyNumberFormat="1" applyFont="1" applyBorder="1" applyAlignment="1">
      <alignment horizontal="right" vertical="top" wrapText="1"/>
    </xf>
    <xf numFmtId="10" fontId="59" fillId="0" borderId="31" xfId="35" applyNumberFormat="1" applyFont="1" applyBorder="1" applyAlignment="1">
      <alignment horizontal="right" vertical="top" wrapText="1"/>
    </xf>
    <xf numFmtId="10" fontId="59" fillId="0" borderId="18" xfId="35" applyNumberFormat="1" applyFont="1" applyBorder="1" applyAlignment="1">
      <alignment horizontal="right" vertical="top" wrapText="1"/>
    </xf>
    <xf numFmtId="10" fontId="59" fillId="8" borderId="60" xfId="35" applyNumberFormat="1" applyFont="1" applyFill="1" applyBorder="1" applyAlignment="1">
      <alignment horizontal="right" vertical="top" wrapText="1"/>
    </xf>
    <xf numFmtId="10" fontId="58" fillId="0" borderId="32" xfId="35" applyNumberFormat="1" applyFont="1" applyBorder="1" applyAlignment="1">
      <alignment horizontal="right" vertical="top" wrapText="1"/>
    </xf>
    <xf numFmtId="10" fontId="60" fillId="13" borderId="32" xfId="35" applyNumberFormat="1" applyFont="1" applyFill="1" applyBorder="1" applyAlignment="1">
      <alignment horizontal="right" vertical="top" wrapText="1"/>
    </xf>
    <xf numFmtId="10" fontId="60" fillId="8" borderId="18" xfId="35" applyNumberFormat="1" applyFont="1" applyFill="1" applyBorder="1" applyAlignment="1">
      <alignment horizontal="right" vertical="top" wrapText="1"/>
    </xf>
    <xf numFmtId="10" fontId="60" fillId="8" borderId="32" xfId="35" applyNumberFormat="1" applyFont="1" applyFill="1" applyBorder="1" applyAlignment="1">
      <alignment horizontal="right" vertical="top" wrapText="1"/>
    </xf>
    <xf numFmtId="10" fontId="64" fillId="9" borderId="32" xfId="35" applyNumberFormat="1" applyFont="1" applyFill="1" applyBorder="1" applyAlignment="1">
      <alignment horizontal="right" vertical="top" wrapText="1"/>
    </xf>
    <xf numFmtId="10" fontId="60" fillId="0" borderId="73" xfId="35" applyNumberFormat="1" applyFont="1" applyBorder="1" applyAlignment="1">
      <alignment horizontal="right" vertical="top" wrapText="1"/>
    </xf>
    <xf numFmtId="10" fontId="60" fillId="0" borderId="72" xfId="35" applyNumberFormat="1" applyFont="1" applyBorder="1" applyAlignment="1">
      <alignment horizontal="right" vertical="top" wrapText="1"/>
    </xf>
    <xf numFmtId="10" fontId="59" fillId="8" borderId="72" xfId="35" applyNumberFormat="1" applyFont="1" applyFill="1" applyBorder="1" applyAlignment="1">
      <alignment horizontal="right" vertical="top" wrapText="1"/>
    </xf>
    <xf numFmtId="10" fontId="59" fillId="8" borderId="75" xfId="35" applyNumberFormat="1" applyFont="1" applyFill="1" applyBorder="1" applyAlignment="1">
      <alignment horizontal="right" vertical="top" wrapText="1"/>
    </xf>
    <xf numFmtId="10" fontId="59" fillId="0" borderId="75" xfId="35" applyNumberFormat="1" applyFont="1" applyBorder="1" applyAlignment="1">
      <alignment horizontal="right" vertical="top" wrapText="1"/>
    </xf>
    <xf numFmtId="10" fontId="59" fillId="0" borderId="73" xfId="35" applyNumberFormat="1" applyFont="1" applyBorder="1" applyAlignment="1">
      <alignment horizontal="right" vertical="top" wrapText="1"/>
    </xf>
    <xf numFmtId="10" fontId="59" fillId="0" borderId="76" xfId="35" applyNumberFormat="1" applyFont="1" applyBorder="1" applyAlignment="1">
      <alignment horizontal="right" vertical="top" wrapText="1"/>
    </xf>
    <xf numFmtId="10" fontId="59" fillId="0" borderId="72" xfId="35" applyNumberFormat="1" applyFont="1" applyBorder="1" applyAlignment="1">
      <alignment horizontal="right" vertical="top" wrapText="1"/>
    </xf>
    <xf numFmtId="10" fontId="60" fillId="13" borderId="72" xfId="35" applyNumberFormat="1" applyFont="1" applyFill="1" applyBorder="1" applyAlignment="1">
      <alignment horizontal="right" vertical="top" wrapText="1"/>
    </xf>
    <xf numFmtId="10" fontId="60" fillId="0" borderId="76" xfId="35" applyNumberFormat="1" applyFont="1" applyBorder="1" applyAlignment="1">
      <alignment horizontal="right" vertical="top" wrapText="1"/>
    </xf>
    <xf numFmtId="10" fontId="60" fillId="8" borderId="75" xfId="35" applyNumberFormat="1" applyFont="1" applyFill="1" applyBorder="1" applyAlignment="1">
      <alignment horizontal="right" vertical="top" wrapText="1"/>
    </xf>
    <xf numFmtId="10" fontId="60" fillId="0" borderId="75" xfId="35" applyNumberFormat="1" applyFont="1" applyBorder="1" applyAlignment="1">
      <alignment horizontal="right" vertical="top" wrapText="1"/>
    </xf>
    <xf numFmtId="10" fontId="57" fillId="9" borderId="73" xfId="35" applyNumberFormat="1" applyFont="1" applyFill="1" applyBorder="1" applyAlignment="1">
      <alignment horizontal="right" vertical="top" wrapText="1"/>
    </xf>
    <xf numFmtId="10" fontId="57" fillId="9" borderId="72" xfId="35" applyNumberFormat="1" applyFont="1" applyFill="1" applyBorder="1" applyAlignment="1">
      <alignment horizontal="right" vertical="top" wrapText="1"/>
    </xf>
    <xf numFmtId="10" fontId="59" fillId="8" borderId="75" xfId="36" applyNumberFormat="1" applyFont="1" applyFill="1" applyBorder="1" applyAlignment="1">
      <alignment horizontal="right" vertical="top" wrapText="1"/>
    </xf>
    <xf numFmtId="10" fontId="59" fillId="8" borderId="72" xfId="36" applyNumberFormat="1" applyFont="1" applyFill="1" applyBorder="1" applyAlignment="1">
      <alignment horizontal="right" vertical="top" wrapText="1"/>
    </xf>
    <xf numFmtId="43" fontId="115" fillId="0" borderId="71" xfId="35" applyNumberFormat="1" applyFont="1" applyFill="1" applyBorder="1" applyAlignment="1">
      <alignment horizontal="center" vertical="center" wrapText="1"/>
    </xf>
    <xf numFmtId="43" fontId="115" fillId="0" borderId="69" xfId="35" applyNumberFormat="1" applyFont="1" applyFill="1" applyBorder="1" applyAlignment="1">
      <alignment horizontal="center" vertical="center" wrapText="1"/>
    </xf>
    <xf numFmtId="10" fontId="59" fillId="8" borderId="78" xfId="35" applyNumberFormat="1" applyFont="1" applyFill="1" applyBorder="1" applyAlignment="1">
      <alignment vertical="top" wrapText="1"/>
    </xf>
    <xf numFmtId="10" fontId="59" fillId="8" borderId="32" xfId="35" applyNumberFormat="1" applyFont="1" applyFill="1" applyBorder="1" applyAlignment="1">
      <alignment vertical="top" wrapText="1"/>
    </xf>
    <xf numFmtId="4" fontId="3" fillId="0" borderId="18" xfId="11" applyNumberFormat="1" applyBorder="1" applyAlignment="1">
      <alignment vertical="top"/>
    </xf>
    <xf numFmtId="0" fontId="3" fillId="0" borderId="18" xfId="11" applyBorder="1" applyAlignment="1">
      <alignment vertical="top"/>
    </xf>
    <xf numFmtId="0" fontId="3" fillId="0" borderId="18" xfId="11" applyBorder="1" applyAlignment="1">
      <alignment vertical="top" wrapText="1"/>
    </xf>
    <xf numFmtId="10" fontId="57" fillId="7" borderId="67" xfId="35" applyNumberFormat="1" applyFont="1" applyFill="1" applyBorder="1" applyAlignment="1">
      <alignment horizontal="right" vertical="center" wrapText="1"/>
    </xf>
    <xf numFmtId="10" fontId="64" fillId="13" borderId="60" xfId="35" applyNumberFormat="1" applyFont="1" applyFill="1" applyBorder="1" applyAlignment="1">
      <alignment horizontal="right" vertical="center" wrapText="1"/>
    </xf>
    <xf numFmtId="10" fontId="64" fillId="0" borderId="60" xfId="35" applyNumberFormat="1" applyFont="1" applyFill="1" applyBorder="1" applyAlignment="1">
      <alignment horizontal="right" vertical="center" wrapText="1"/>
    </xf>
    <xf numFmtId="10" fontId="64" fillId="7" borderId="18" xfId="35" applyNumberFormat="1" applyFont="1" applyFill="1" applyBorder="1" applyAlignment="1">
      <alignment horizontal="right" vertical="center" wrapText="1"/>
    </xf>
    <xf numFmtId="10" fontId="64" fillId="13" borderId="18" xfId="35" applyNumberFormat="1" applyFont="1" applyFill="1" applyBorder="1" applyAlignment="1">
      <alignment horizontal="right" vertical="center" wrapText="1"/>
    </xf>
    <xf numFmtId="10" fontId="64" fillId="0" borderId="31" xfId="35" applyNumberFormat="1" applyFont="1" applyFill="1" applyBorder="1" applyAlignment="1">
      <alignment horizontal="right" vertical="center" wrapText="1"/>
    </xf>
    <xf numFmtId="10" fontId="57" fillId="7" borderId="18" xfId="35" applyNumberFormat="1" applyFont="1" applyFill="1" applyBorder="1" applyAlignment="1">
      <alignment horizontal="right" vertical="center" wrapText="1"/>
    </xf>
    <xf numFmtId="10" fontId="64" fillId="0" borderId="32" xfId="35" applyNumberFormat="1" applyFont="1" applyFill="1" applyBorder="1" applyAlignment="1">
      <alignment horizontal="right" vertical="center" wrapText="1"/>
    </xf>
    <xf numFmtId="10" fontId="64" fillId="13" borderId="32" xfId="35" applyNumberFormat="1" applyFont="1" applyFill="1" applyBorder="1" applyAlignment="1">
      <alignment horizontal="right" vertical="center" wrapText="1"/>
    </xf>
    <xf numFmtId="10" fontId="59" fillId="15" borderId="60" xfId="35" applyNumberFormat="1" applyFont="1" applyFill="1" applyBorder="1" applyAlignment="1">
      <alignment horizontal="right" vertical="top" wrapText="1"/>
    </xf>
    <xf numFmtId="10" fontId="59" fillId="15" borderId="32" xfId="36" applyNumberFormat="1" applyFont="1" applyFill="1" applyBorder="1" applyAlignment="1">
      <alignment horizontal="right" vertical="top" wrapText="1"/>
    </xf>
    <xf numFmtId="10" fontId="64" fillId="9" borderId="32" xfId="35" applyNumberFormat="1" applyFont="1" applyFill="1" applyBorder="1" applyAlignment="1">
      <alignment horizontal="right" vertical="center" wrapText="1"/>
    </xf>
    <xf numFmtId="10" fontId="57" fillId="9" borderId="31" xfId="35" applyNumberFormat="1" applyFont="1" applyFill="1" applyBorder="1" applyAlignment="1">
      <alignment horizontal="right" vertical="center" wrapText="1"/>
    </xf>
    <xf numFmtId="10" fontId="26" fillId="0" borderId="87" xfId="35" applyNumberFormat="1" applyFont="1" applyBorder="1" applyAlignment="1">
      <alignment vertical="center"/>
    </xf>
    <xf numFmtId="10" fontId="64" fillId="0" borderId="61" xfId="35" applyNumberFormat="1" applyFont="1" applyFill="1" applyBorder="1" applyAlignment="1">
      <alignment horizontal="right" vertical="center" wrapText="1"/>
    </xf>
    <xf numFmtId="10" fontId="59" fillId="15" borderId="32" xfId="35" applyNumberFormat="1" applyFont="1" applyFill="1" applyBorder="1" applyAlignment="1">
      <alignment horizontal="right" vertical="top" wrapText="1"/>
    </xf>
    <xf numFmtId="0" fontId="116" fillId="0" borderId="18" xfId="35" applyFont="1" applyBorder="1" applyAlignment="1">
      <alignment horizontal="right" vertical="center"/>
    </xf>
    <xf numFmtId="4" fontId="116" fillId="0" borderId="18" xfId="35" applyNumberFormat="1" applyFont="1" applyBorder="1" applyAlignment="1">
      <alignment vertical="center"/>
    </xf>
    <xf numFmtId="10" fontId="116" fillId="0" borderId="75" xfId="35" applyNumberFormat="1" applyFont="1" applyBorder="1" applyAlignment="1">
      <alignment vertical="center"/>
    </xf>
    <xf numFmtId="4" fontId="116" fillId="0" borderId="60" xfId="35" applyNumberFormat="1" applyFont="1" applyBorder="1" applyAlignment="1">
      <alignment vertical="center"/>
    </xf>
    <xf numFmtId="10" fontId="116" fillId="0" borderId="18" xfId="35" applyNumberFormat="1" applyFont="1" applyBorder="1" applyAlignment="1">
      <alignment vertical="center"/>
    </xf>
    <xf numFmtId="0" fontId="11" fillId="0" borderId="18" xfId="11" applyFont="1" applyBorder="1" applyAlignment="1">
      <alignment horizontal="center" vertical="center"/>
    </xf>
    <xf numFmtId="4" fontId="57" fillId="7" borderId="67" xfId="35" applyNumberFormat="1" applyFont="1" applyFill="1" applyBorder="1" applyAlignment="1">
      <alignment horizontal="right" vertical="top" wrapText="1"/>
    </xf>
    <xf numFmtId="4" fontId="64" fillId="13" borderId="60" xfId="35" applyNumberFormat="1" applyFont="1" applyFill="1" applyBorder="1" applyAlignment="1">
      <alignment horizontal="right" vertical="top" wrapText="1"/>
    </xf>
    <xf numFmtId="4" fontId="3" fillId="0" borderId="18" xfId="4" applyNumberFormat="1" applyBorder="1" applyAlignment="1">
      <alignment vertical="top"/>
    </xf>
    <xf numFmtId="4" fontId="64" fillId="7" borderId="18" xfId="35" applyNumberFormat="1" applyFont="1" applyFill="1" applyBorder="1" applyAlignment="1">
      <alignment horizontal="right" vertical="top" wrapText="1"/>
    </xf>
    <xf numFmtId="4" fontId="64" fillId="13" borderId="31" xfId="35" applyNumberFormat="1" applyFont="1" applyFill="1" applyBorder="1" applyAlignment="1">
      <alignment horizontal="right" vertical="top" wrapText="1"/>
    </xf>
    <xf numFmtId="4" fontId="57" fillId="7" borderId="18" xfId="35" applyNumberFormat="1" applyFont="1" applyFill="1" applyBorder="1" applyAlignment="1">
      <alignment horizontal="right" vertical="top" wrapText="1"/>
    </xf>
    <xf numFmtId="4" fontId="64" fillId="13" borderId="32" xfId="35" applyNumberFormat="1" applyFont="1" applyFill="1" applyBorder="1" applyAlignment="1">
      <alignment horizontal="right" vertical="top" wrapText="1"/>
    </xf>
    <xf numFmtId="4" fontId="3" fillId="9" borderId="18" xfId="4" applyNumberFormat="1" applyFill="1" applyBorder="1" applyAlignment="1">
      <alignment vertical="top"/>
    </xf>
    <xf numFmtId="10" fontId="64" fillId="13" borderId="60" xfId="35" applyNumberFormat="1" applyFont="1" applyFill="1" applyBorder="1" applyAlignment="1">
      <alignment horizontal="right" vertical="top" wrapText="1"/>
    </xf>
    <xf numFmtId="0" fontId="3" fillId="0" borderId="18" xfId="4" applyBorder="1" applyAlignment="1">
      <alignment vertical="top"/>
    </xf>
    <xf numFmtId="10" fontId="64" fillId="7" borderId="18" xfId="35" applyNumberFormat="1" applyFont="1" applyFill="1" applyBorder="1" applyAlignment="1">
      <alignment horizontal="right" vertical="top" wrapText="1"/>
    </xf>
    <xf numFmtId="10" fontId="64" fillId="13" borderId="31" xfId="35" applyNumberFormat="1" applyFont="1" applyFill="1" applyBorder="1" applyAlignment="1">
      <alignment horizontal="right" vertical="top" wrapText="1"/>
    </xf>
    <xf numFmtId="10" fontId="57" fillId="7" borderId="18" xfId="35" applyNumberFormat="1" applyFont="1" applyFill="1" applyBorder="1" applyAlignment="1">
      <alignment horizontal="right" vertical="top" wrapText="1"/>
    </xf>
    <xf numFmtId="10" fontId="64" fillId="13" borderId="32" xfId="35" applyNumberFormat="1" applyFont="1" applyFill="1" applyBorder="1" applyAlignment="1">
      <alignment horizontal="right" vertical="top" wrapText="1"/>
    </xf>
    <xf numFmtId="0" fontId="3" fillId="9" borderId="18" xfId="4" applyFill="1" applyBorder="1" applyAlignment="1">
      <alignment vertical="top"/>
    </xf>
    <xf numFmtId="4" fontId="3" fillId="0" borderId="0" xfId="4" applyNumberFormat="1" applyAlignment="1"/>
    <xf numFmtId="0" fontId="64" fillId="0" borderId="57" xfId="35" applyFont="1" applyFill="1" applyBorder="1" applyAlignment="1">
      <alignment horizontal="center" vertical="center" wrapText="1"/>
    </xf>
    <xf numFmtId="0" fontId="25" fillId="0" borderId="0" xfId="34" applyFont="1" applyBorder="1" applyAlignment="1">
      <alignment horizontal="center" vertical="center"/>
    </xf>
    <xf numFmtId="4" fontId="16" fillId="0" borderId="106" xfId="34" applyNumberFormat="1" applyFont="1" applyBorder="1" applyAlignment="1">
      <alignment horizontal="right" vertical="center"/>
    </xf>
    <xf numFmtId="4" fontId="29" fillId="0" borderId="106" xfId="34" applyNumberFormat="1" applyFont="1" applyBorder="1" applyAlignment="1">
      <alignment horizontal="right" vertical="center"/>
    </xf>
    <xf numFmtId="4" fontId="31" fillId="0" borderId="106" xfId="34" applyNumberFormat="1" applyFont="1" applyBorder="1" applyAlignment="1">
      <alignment horizontal="right" vertical="center"/>
    </xf>
    <xf numFmtId="4" fontId="16" fillId="0" borderId="112" xfId="34" applyNumberFormat="1" applyFont="1" applyBorder="1" applyAlignment="1">
      <alignment horizontal="right" vertical="center"/>
    </xf>
    <xf numFmtId="4" fontId="16" fillId="0" borderId="42" xfId="34" applyNumberFormat="1" applyFont="1" applyBorder="1" applyAlignment="1">
      <alignment horizontal="right" vertical="center"/>
    </xf>
    <xf numFmtId="4" fontId="16" fillId="0" borderId="113" xfId="34" applyNumberFormat="1" applyFont="1" applyBorder="1" applyAlignment="1">
      <alignment horizontal="right" vertical="center"/>
    </xf>
    <xf numFmtId="4" fontId="31" fillId="0" borderId="12" xfId="34" applyNumberFormat="1" applyFont="1" applyBorder="1" applyAlignment="1">
      <alignment horizontal="right" vertical="center"/>
    </xf>
    <xf numFmtId="4" fontId="16" fillId="0" borderId="46" xfId="34" applyNumberFormat="1" applyFont="1" applyBorder="1" applyAlignment="1">
      <alignment horizontal="right" vertical="center"/>
    </xf>
    <xf numFmtId="4" fontId="29" fillId="0" borderId="112" xfId="34" applyNumberFormat="1" applyFont="1" applyBorder="1" applyAlignment="1">
      <alignment horizontal="right" vertical="center"/>
    </xf>
    <xf numFmtId="4" fontId="29" fillId="0" borderId="27" xfId="34" applyNumberFormat="1" applyFont="1" applyBorder="1" applyAlignment="1">
      <alignment horizontal="right" vertical="center"/>
    </xf>
    <xf numFmtId="49" fontId="24" fillId="0" borderId="18" xfId="34" applyNumberFormat="1" applyFont="1" applyBorder="1" applyAlignment="1">
      <alignment horizontal="center"/>
    </xf>
    <xf numFmtId="10" fontId="17" fillId="0" borderId="18" xfId="34" applyNumberFormat="1" applyFont="1" applyBorder="1" applyAlignment="1">
      <alignment horizontal="right" vertical="center"/>
    </xf>
    <xf numFmtId="10" fontId="16" fillId="0" borderId="18" xfId="34" applyNumberFormat="1" applyFont="1" applyBorder="1" applyAlignment="1">
      <alignment horizontal="right" vertical="center"/>
    </xf>
    <xf numFmtId="10" fontId="16" fillId="0" borderId="29" xfId="34" applyNumberFormat="1" applyFont="1" applyBorder="1" applyAlignment="1">
      <alignment horizontal="right" vertical="center"/>
    </xf>
    <xf numFmtId="10" fontId="31" fillId="0" borderId="15" xfId="34" applyNumberFormat="1" applyFont="1" applyBorder="1" applyAlignment="1">
      <alignment horizontal="right" vertical="center"/>
    </xf>
    <xf numFmtId="10" fontId="31" fillId="0" borderId="57" xfId="34" applyNumberFormat="1" applyFont="1" applyBorder="1" applyAlignment="1">
      <alignment horizontal="right" vertical="center"/>
    </xf>
    <xf numFmtId="49" fontId="27" fillId="0" borderId="1" xfId="34" applyNumberFormat="1" applyFont="1" applyBorder="1" applyAlignment="1">
      <alignment horizontal="center" vertical="center"/>
    </xf>
    <xf numFmtId="49" fontId="17" fillId="0" borderId="1" xfId="34" applyNumberFormat="1" applyFont="1" applyBorder="1" applyAlignment="1">
      <alignment horizontal="left" vertical="center" wrapText="1"/>
    </xf>
    <xf numFmtId="49" fontId="16" fillId="0" borderId="1" xfId="34" applyNumberFormat="1" applyFont="1" applyBorder="1" applyAlignment="1">
      <alignment horizontal="left" vertical="center" wrapText="1"/>
    </xf>
    <xf numFmtId="49" fontId="16" fillId="0" borderId="9" xfId="34" applyNumberFormat="1" applyFont="1" applyBorder="1" applyAlignment="1">
      <alignment horizontal="left" vertical="center" wrapText="1"/>
    </xf>
    <xf numFmtId="49" fontId="16" fillId="0" borderId="11" xfId="34" applyNumberFormat="1" applyFont="1" applyBorder="1" applyAlignment="1">
      <alignment horizontal="left" vertical="center" wrapText="1"/>
    </xf>
    <xf numFmtId="49" fontId="16" fillId="0" borderId="2" xfId="34" applyNumberFormat="1" applyFont="1" applyBorder="1" applyAlignment="1">
      <alignment horizontal="left" vertical="center" wrapText="1"/>
    </xf>
    <xf numFmtId="49" fontId="16" fillId="0" borderId="15" xfId="34" applyNumberFormat="1" applyFont="1" applyBorder="1" applyAlignment="1">
      <alignment horizontal="left" vertical="center" wrapText="1"/>
    </xf>
    <xf numFmtId="49" fontId="16" fillId="0" borderId="17" xfId="34" applyNumberFormat="1" applyFont="1" applyBorder="1" applyAlignment="1">
      <alignment horizontal="left" vertical="center" wrapText="1"/>
    </xf>
    <xf numFmtId="49" fontId="16" fillId="0" borderId="18" xfId="34" applyNumberFormat="1" applyFont="1" applyBorder="1" applyAlignment="1">
      <alignment horizontal="left" vertical="center" wrapText="1"/>
    </xf>
    <xf numFmtId="0" fontId="16" fillId="0" borderId="11" xfId="34" applyFont="1" applyBorder="1" applyAlignment="1">
      <alignment horizontal="left" vertical="center" wrapText="1"/>
    </xf>
    <xf numFmtId="0" fontId="16" fillId="0" borderId="22" xfId="34" applyFont="1" applyBorder="1" applyAlignment="1">
      <alignment horizontal="left" vertical="center" wrapText="1"/>
    </xf>
    <xf numFmtId="0" fontId="16" fillId="0" borderId="23" xfId="34" applyFont="1" applyBorder="1" applyAlignment="1">
      <alignment horizontal="left" vertical="center" wrapText="1"/>
    </xf>
    <xf numFmtId="0" fontId="16" fillId="0" borderId="15" xfId="34" applyFont="1" applyBorder="1" applyAlignment="1">
      <alignment horizontal="left" vertical="center" wrapText="1"/>
    </xf>
    <xf numFmtId="0" fontId="16" fillId="0" borderId="18" xfId="34" applyFont="1" applyBorder="1" applyAlignment="1">
      <alignment horizontal="left" vertical="center" wrapText="1"/>
    </xf>
    <xf numFmtId="0" fontId="16" fillId="0" borderId="25" xfId="34" applyFont="1" applyBorder="1" applyAlignment="1">
      <alignment horizontal="left" vertical="center" wrapText="1"/>
    </xf>
    <xf numFmtId="49" fontId="27" fillId="0" borderId="9" xfId="34" applyNumberFormat="1" applyFont="1" applyBorder="1" applyAlignment="1">
      <alignment horizontal="center" vertical="center"/>
    </xf>
    <xf numFmtId="49" fontId="27" fillId="0" borderId="2" xfId="34" applyNumberFormat="1" applyFont="1" applyBorder="1" applyAlignment="1">
      <alignment horizontal="center" vertical="center"/>
    </xf>
    <xf numFmtId="0" fontId="16" fillId="0" borderId="2" xfId="34" applyFont="1" applyBorder="1" applyAlignment="1">
      <alignment horizontal="left" vertical="center" wrapText="1"/>
    </xf>
    <xf numFmtId="49" fontId="27" fillId="0" borderId="11" xfId="34" applyNumberFormat="1" applyFont="1" applyBorder="1" applyAlignment="1">
      <alignment horizontal="center" vertical="center"/>
    </xf>
    <xf numFmtId="49" fontId="27" fillId="0" borderId="14" xfId="34" applyNumberFormat="1" applyFont="1" applyBorder="1" applyAlignment="1">
      <alignment horizontal="center" vertical="center"/>
    </xf>
    <xf numFmtId="0" fontId="16" fillId="0" borderId="29" xfId="34" applyFont="1" applyBorder="1" applyAlignment="1">
      <alignment horizontal="left" vertical="center" wrapText="1"/>
    </xf>
    <xf numFmtId="49" fontId="27" fillId="0" borderId="8" xfId="34" applyNumberFormat="1" applyFont="1" applyBorder="1" applyAlignment="1">
      <alignment horizontal="center" vertical="center"/>
    </xf>
    <xf numFmtId="0" fontId="16" fillId="0" borderId="30" xfId="34" applyFont="1" applyBorder="1" applyAlignment="1">
      <alignment horizontal="left" vertical="center" wrapText="1"/>
    </xf>
    <xf numFmtId="49" fontId="27" fillId="0" borderId="2" xfId="34" applyNumberFormat="1" applyFont="1" applyBorder="1" applyAlignment="1">
      <alignment vertical="center"/>
    </xf>
    <xf numFmtId="0" fontId="29" fillId="0" borderId="30" xfId="34" applyFont="1" applyBorder="1" applyAlignment="1">
      <alignment horizontal="left" vertical="center" wrapText="1"/>
    </xf>
    <xf numFmtId="49" fontId="27" fillId="0" borderId="11" xfId="34" applyNumberFormat="1" applyFont="1" applyBorder="1" applyAlignment="1">
      <alignment vertical="center"/>
    </xf>
    <xf numFmtId="0" fontId="29" fillId="0" borderId="16" xfId="34" applyFont="1" applyBorder="1" applyAlignment="1">
      <alignment horizontal="left" vertical="center" wrapText="1"/>
    </xf>
    <xf numFmtId="0" fontId="16" fillId="0" borderId="28" xfId="34" applyFont="1" applyBorder="1" applyAlignment="1">
      <alignment horizontal="left" vertical="center" wrapText="1"/>
    </xf>
    <xf numFmtId="0" fontId="16" fillId="0" borderId="0" xfId="34" applyFont="1" applyBorder="1" applyAlignment="1">
      <alignment horizontal="left" vertical="center" wrapText="1"/>
    </xf>
    <xf numFmtId="0" fontId="31" fillId="0" borderId="31" xfId="34" applyFont="1" applyBorder="1" applyAlignment="1">
      <alignment horizontal="left" vertical="center" wrapText="1"/>
    </xf>
    <xf numFmtId="0" fontId="31" fillId="0" borderId="32" xfId="34" applyFont="1" applyBorder="1" applyAlignment="1">
      <alignment horizontal="left" vertical="center" wrapText="1"/>
    </xf>
    <xf numFmtId="0" fontId="16" fillId="0" borderId="16" xfId="34" applyFont="1" applyBorder="1" applyAlignment="1">
      <alignment horizontal="left" vertical="center" wrapText="1"/>
    </xf>
    <xf numFmtId="49" fontId="32" fillId="4" borderId="3" xfId="23" applyNumberFormat="1" applyFont="1" applyFill="1" applyBorder="1" applyAlignment="1" applyProtection="1">
      <alignment horizontal="left" vertical="center" wrapText="1"/>
      <protection locked="0"/>
    </xf>
    <xf numFmtId="10" fontId="29" fillId="0" borderId="15" xfId="34" applyNumberFormat="1" applyFont="1" applyBorder="1" applyAlignment="1">
      <alignment horizontal="right" vertical="center"/>
    </xf>
    <xf numFmtId="10" fontId="29" fillId="0" borderId="57" xfId="34" applyNumberFormat="1" applyFont="1" applyBorder="1" applyAlignment="1">
      <alignment horizontal="right" vertical="center"/>
    </xf>
    <xf numFmtId="10" fontId="16" fillId="0" borderId="15" xfId="34" applyNumberFormat="1" applyFont="1" applyBorder="1" applyAlignment="1">
      <alignment horizontal="right" vertical="center"/>
    </xf>
    <xf numFmtId="49" fontId="32" fillId="4" borderId="8" xfId="23" applyNumberFormat="1" applyFont="1" applyFill="1" applyBorder="1" applyAlignment="1" applyProtection="1">
      <alignment horizontal="left" vertical="center" wrapText="1"/>
      <protection locked="0"/>
    </xf>
    <xf numFmtId="4" fontId="26" fillId="0" borderId="4" xfId="34" applyNumberFormat="1" applyFont="1" applyBorder="1" applyAlignment="1">
      <alignment horizontal="right" vertical="center"/>
    </xf>
    <xf numFmtId="10" fontId="26" fillId="0" borderId="115" xfId="34" applyNumberFormat="1" applyFont="1" applyBorder="1" applyAlignment="1">
      <alignment horizontal="right" vertical="center"/>
    </xf>
    <xf numFmtId="0" fontId="25" fillId="0" borderId="116" xfId="34" applyFont="1" applyBorder="1" applyAlignment="1">
      <alignment horizontal="center" vertical="center"/>
    </xf>
    <xf numFmtId="0" fontId="54" fillId="0" borderId="118" xfId="34" applyFont="1" applyBorder="1" applyAlignment="1">
      <alignment horizontal="left" vertical="center"/>
    </xf>
    <xf numFmtId="0" fontId="116" fillId="0" borderId="115" xfId="34" applyFont="1" applyBorder="1" applyAlignment="1">
      <alignment horizontal="center" vertical="center" wrapText="1"/>
    </xf>
    <xf numFmtId="49" fontId="31" fillId="0" borderId="2" xfId="34" applyNumberFormat="1" applyFont="1" applyBorder="1" applyAlignment="1">
      <alignment horizontal="left" vertical="center" wrapText="1"/>
    </xf>
    <xf numFmtId="0" fontId="54" fillId="0" borderId="121" xfId="34" applyFont="1" applyBorder="1" applyAlignment="1">
      <alignment horizontal="left" vertical="top" wrapText="1"/>
    </xf>
    <xf numFmtId="49" fontId="24" fillId="0" borderId="122" xfId="34" applyNumberFormat="1" applyFont="1" applyBorder="1" applyAlignment="1">
      <alignment horizontal="center"/>
    </xf>
    <xf numFmtId="4" fontId="17" fillId="0" borderId="123" xfId="34" applyNumberFormat="1" applyFont="1" applyBorder="1" applyAlignment="1">
      <alignment horizontal="right" vertical="center"/>
    </xf>
    <xf numFmtId="4" fontId="16" fillId="0" borderId="123" xfId="34" applyNumberFormat="1" applyFont="1" applyBorder="1" applyAlignment="1">
      <alignment horizontal="right" vertical="center"/>
    </xf>
    <xf numFmtId="4" fontId="16" fillId="0" borderId="124" xfId="34" applyNumberFormat="1" applyFont="1" applyBorder="1" applyAlignment="1">
      <alignment horizontal="right" vertical="center"/>
    </xf>
    <xf numFmtId="4" fontId="16" fillId="0" borderId="107" xfId="34" applyNumberFormat="1" applyFont="1" applyBorder="1" applyAlignment="1">
      <alignment horizontal="right" vertical="center"/>
    </xf>
    <xf numFmtId="4" fontId="16" fillId="0" borderId="99" xfId="34" applyNumberFormat="1" applyFont="1" applyBorder="1" applyAlignment="1">
      <alignment horizontal="right" vertical="center"/>
    </xf>
    <xf numFmtId="4" fontId="31" fillId="0" borderId="99" xfId="34" applyNumberFormat="1" applyFont="1" applyBorder="1" applyAlignment="1">
      <alignment horizontal="right" vertical="center"/>
    </xf>
    <xf numFmtId="4" fontId="16" fillId="0" borderId="74" xfId="34" applyNumberFormat="1" applyFont="1" applyBorder="1" applyAlignment="1">
      <alignment horizontal="right" vertical="center"/>
    </xf>
    <xf numFmtId="4" fontId="16" fillId="0" borderId="125" xfId="34" applyNumberFormat="1" applyFont="1" applyBorder="1" applyAlignment="1">
      <alignment horizontal="right" vertical="center"/>
    </xf>
    <xf numFmtId="4" fontId="31" fillId="0" borderId="107" xfId="34" applyNumberFormat="1" applyFont="1" applyBorder="1" applyAlignment="1">
      <alignment horizontal="right" vertical="center"/>
    </xf>
    <xf numFmtId="4" fontId="29" fillId="0" borderId="99" xfId="34" applyNumberFormat="1" applyFont="1" applyBorder="1" applyAlignment="1">
      <alignment horizontal="right" vertical="center"/>
    </xf>
    <xf numFmtId="4" fontId="29" fillId="0" borderId="107" xfId="34" applyNumberFormat="1" applyFont="1" applyBorder="1" applyAlignment="1">
      <alignment horizontal="right" vertical="center"/>
    </xf>
    <xf numFmtId="49" fontId="31" fillId="0" borderId="17" xfId="34" applyNumberFormat="1" applyFont="1" applyBorder="1" applyAlignment="1">
      <alignment horizontal="center" vertical="center"/>
    </xf>
    <xf numFmtId="4" fontId="31" fillId="0" borderId="17" xfId="34" applyNumberFormat="1" applyFont="1" applyBorder="1" applyAlignment="1">
      <alignment horizontal="right" vertical="center"/>
    </xf>
    <xf numFmtId="49" fontId="31" fillId="0" borderId="15" xfId="34" applyNumberFormat="1" applyFont="1" applyBorder="1" applyAlignment="1">
      <alignment horizontal="center" vertical="center"/>
    </xf>
    <xf numFmtId="4" fontId="31" fillId="0" borderId="15" xfId="34" applyNumberFormat="1" applyFont="1" applyBorder="1" applyAlignment="1">
      <alignment horizontal="right" vertical="center"/>
    </xf>
    <xf numFmtId="4" fontId="5" fillId="0" borderId="0" xfId="11" applyNumberFormat="1" applyFont="1" applyFill="1" applyBorder="1" applyAlignment="1" applyProtection="1">
      <alignment horizontal="left"/>
      <protection locked="0"/>
    </xf>
    <xf numFmtId="49" fontId="27" fillId="0" borderId="126" xfId="34" applyNumberFormat="1" applyFont="1" applyBorder="1" applyAlignment="1">
      <alignment horizontal="center" vertical="center"/>
    </xf>
    <xf numFmtId="49" fontId="16" fillId="0" borderId="126" xfId="34" applyNumberFormat="1" applyFont="1" applyBorder="1" applyAlignment="1">
      <alignment horizontal="left" vertical="center" wrapText="1"/>
    </xf>
    <xf numFmtId="49" fontId="16" fillId="0" borderId="126" xfId="34" applyNumberFormat="1" applyFont="1" applyBorder="1" applyAlignment="1">
      <alignment horizontal="center" vertical="center"/>
    </xf>
    <xf numFmtId="4" fontId="16" fillId="0" borderId="126" xfId="34" applyNumberFormat="1" applyFont="1" applyBorder="1" applyAlignment="1">
      <alignment horizontal="right" vertical="center"/>
    </xf>
    <xf numFmtId="4" fontId="16" fillId="0" borderId="127" xfId="34" applyNumberFormat="1" applyFont="1" applyBorder="1" applyAlignment="1">
      <alignment horizontal="right" vertical="center"/>
    </xf>
    <xf numFmtId="4" fontId="26" fillId="0" borderId="49" xfId="34" applyNumberFormat="1" applyFont="1" applyBorder="1" applyAlignment="1">
      <alignment horizontal="right" vertical="center"/>
    </xf>
    <xf numFmtId="4" fontId="26" fillId="0" borderId="89" xfId="34" applyNumberFormat="1" applyFont="1" applyBorder="1" applyAlignment="1">
      <alignment horizontal="right" vertical="center"/>
    </xf>
    <xf numFmtId="0" fontId="29" fillId="0" borderId="0" xfId="34" applyFont="1" applyAlignment="1">
      <alignment horizontal="left" wrapText="1"/>
    </xf>
    <xf numFmtId="0" fontId="17" fillId="0" borderId="0" xfId="34" applyAlignment="1">
      <alignment horizontal="left" wrapText="1"/>
    </xf>
    <xf numFmtId="4" fontId="30" fillId="0" borderId="18" xfId="34" applyNumberFormat="1" applyFont="1" applyBorder="1" applyAlignment="1">
      <alignment vertical="top"/>
    </xf>
    <xf numFmtId="10" fontId="30" fillId="0" borderId="18" xfId="34" applyNumberFormat="1" applyFont="1" applyBorder="1" applyAlignment="1">
      <alignment vertical="top"/>
    </xf>
    <xf numFmtId="4" fontId="82" fillId="0" borderId="18" xfId="4" applyNumberFormat="1" applyFont="1" applyBorder="1" applyAlignment="1">
      <alignment vertical="top"/>
    </xf>
    <xf numFmtId="0" fontId="82" fillId="0" borderId="18" xfId="4" applyFont="1" applyBorder="1" applyAlignment="1">
      <alignment vertical="top"/>
    </xf>
    <xf numFmtId="0" fontId="82" fillId="0" borderId="0" xfId="4" applyFont="1" applyAlignment="1"/>
    <xf numFmtId="170" fontId="118" fillId="0" borderId="18" xfId="39" applyFont="1" applyFill="1" applyBorder="1" applyAlignment="1" applyProtection="1">
      <alignment horizontal="center" vertical="center" wrapText="1"/>
    </xf>
    <xf numFmtId="4" fontId="44" fillId="0" borderId="60" xfId="39" applyNumberFormat="1" applyFont="1" applyFill="1" applyBorder="1" applyAlignment="1" applyProtection="1">
      <alignment horizontal="right" vertical="top"/>
    </xf>
    <xf numFmtId="10" fontId="43" fillId="5" borderId="15" xfId="39" applyNumberFormat="1" applyFont="1" applyFill="1" applyBorder="1" applyAlignment="1" applyProtection="1">
      <alignment horizontal="right" vertical="top"/>
    </xf>
    <xf numFmtId="10" fontId="44" fillId="6" borderId="18" xfId="39" applyNumberFormat="1" applyFont="1" applyFill="1" applyBorder="1" applyAlignment="1" applyProtection="1">
      <alignment horizontal="right" vertical="top"/>
    </xf>
    <xf numFmtId="10" fontId="44" fillId="0" borderId="3" xfId="39" applyNumberFormat="1" applyFont="1" applyFill="1" applyBorder="1" applyAlignment="1" applyProtection="1">
      <alignment horizontal="right" vertical="top"/>
    </xf>
    <xf numFmtId="10" fontId="38" fillId="0" borderId="18" xfId="39" applyNumberFormat="1" applyFont="1" applyFill="1" applyBorder="1" applyAlignment="1" applyProtection="1">
      <alignment horizontal="right" vertical="center"/>
    </xf>
    <xf numFmtId="10" fontId="118" fillId="0" borderId="18" xfId="39" applyNumberFormat="1" applyFont="1" applyFill="1" applyBorder="1" applyAlignment="1" applyProtection="1">
      <alignment horizontal="center" vertical="center" wrapText="1"/>
    </xf>
    <xf numFmtId="10" fontId="43" fillId="5" borderId="18" xfId="39" applyNumberFormat="1" applyFont="1" applyFill="1" applyBorder="1" applyAlignment="1" applyProtection="1">
      <alignment horizontal="right" vertical="top"/>
    </xf>
    <xf numFmtId="10" fontId="44" fillId="0" borderId="29" xfId="39" applyNumberFormat="1" applyFont="1" applyFill="1" applyBorder="1" applyAlignment="1" applyProtection="1">
      <alignment horizontal="right" vertical="top"/>
    </xf>
    <xf numFmtId="10" fontId="38" fillId="0" borderId="94" xfId="39" applyNumberFormat="1" applyFont="1" applyFill="1" applyBorder="1" applyAlignment="1" applyProtection="1">
      <alignment horizontal="right" vertical="center"/>
    </xf>
    <xf numFmtId="4" fontId="44" fillId="0" borderId="42" xfId="33" applyNumberFormat="1" applyFont="1" applyBorder="1" applyAlignment="1">
      <alignment horizontal="right" vertical="center" wrapText="1"/>
    </xf>
    <xf numFmtId="0" fontId="52" fillId="0" borderId="29" xfId="31" applyFont="1" applyBorder="1" applyAlignment="1">
      <alignment horizontal="center" vertical="center" wrapText="1"/>
    </xf>
    <xf numFmtId="10" fontId="27" fillId="7" borderId="60" xfId="31" applyNumberFormat="1" applyFont="1" applyFill="1" applyBorder="1" applyAlignment="1">
      <alignment horizontal="right" vertical="top"/>
    </xf>
    <xf numFmtId="10" fontId="54" fillId="8" borderId="60" xfId="31" applyNumberFormat="1" applyFont="1" applyFill="1" applyBorder="1" applyAlignment="1">
      <alignment horizontal="right" vertical="top"/>
    </xf>
    <xf numFmtId="10" fontId="54" fillId="9" borderId="61" xfId="31" applyNumberFormat="1" applyFont="1" applyFill="1" applyBorder="1" applyAlignment="1">
      <alignment horizontal="right" vertical="top"/>
    </xf>
    <xf numFmtId="10" fontId="54" fillId="0" borderId="61" xfId="31" applyNumberFormat="1" applyFont="1" applyFill="1" applyBorder="1" applyAlignment="1">
      <alignment horizontal="right" vertical="top"/>
    </xf>
    <xf numFmtId="10" fontId="54" fillId="0" borderId="60" xfId="31" applyNumberFormat="1" applyFont="1" applyBorder="1" applyAlignment="1">
      <alignment horizontal="right" vertical="top"/>
    </xf>
    <xf numFmtId="10" fontId="27" fillId="0" borderId="32" xfId="31" applyNumberFormat="1" applyFont="1" applyBorder="1" applyAlignment="1">
      <alignment horizontal="right"/>
    </xf>
    <xf numFmtId="10" fontId="53" fillId="7" borderId="18" xfId="31" applyNumberFormat="1" applyFont="1" applyFill="1" applyBorder="1" applyAlignment="1">
      <alignment horizontal="right" vertical="top"/>
    </xf>
    <xf numFmtId="10" fontId="54" fillId="8" borderId="18" xfId="31" applyNumberFormat="1" applyFont="1" applyFill="1" applyBorder="1" applyAlignment="1">
      <alignment horizontal="right" vertical="top" wrapText="1"/>
    </xf>
    <xf numFmtId="10" fontId="54" fillId="0" borderId="18" xfId="31" applyNumberFormat="1" applyFont="1" applyBorder="1" applyAlignment="1">
      <alignment horizontal="right" vertical="top"/>
    </xf>
    <xf numFmtId="10" fontId="55" fillId="0" borderId="15" xfId="31" applyNumberFormat="1" applyFont="1" applyBorder="1" applyAlignment="1">
      <alignment horizontal="right"/>
    </xf>
    <xf numFmtId="0" fontId="54" fillId="9" borderId="18" xfId="31" applyFont="1" applyFill="1" applyBorder="1" applyAlignment="1">
      <alignment horizontal="left" vertical="top"/>
    </xf>
    <xf numFmtId="0" fontId="54" fillId="9" borderId="18" xfId="31" applyFont="1" applyFill="1" applyBorder="1" applyAlignment="1">
      <alignment horizontal="left" vertical="top" wrapText="1"/>
    </xf>
    <xf numFmtId="4" fontId="54" fillId="9" borderId="18" xfId="31" applyNumberFormat="1" applyFont="1" applyFill="1" applyBorder="1" applyAlignment="1">
      <alignment horizontal="right" vertical="top" wrapText="1"/>
    </xf>
    <xf numFmtId="10" fontId="54" fillId="9" borderId="18" xfId="31" applyNumberFormat="1" applyFont="1" applyFill="1" applyBorder="1" applyAlignment="1">
      <alignment horizontal="right" vertical="top" wrapText="1"/>
    </xf>
    <xf numFmtId="0" fontId="54" fillId="9" borderId="18" xfId="31" quotePrefix="1" applyFont="1" applyFill="1" applyBorder="1" applyAlignment="1">
      <alignment horizontal="left" vertical="top"/>
    </xf>
    <xf numFmtId="4" fontId="54" fillId="0" borderId="18" xfId="31" applyNumberFormat="1" applyFont="1" applyBorder="1" applyAlignment="1">
      <alignment horizontal="right"/>
    </xf>
    <xf numFmtId="4" fontId="44" fillId="0" borderId="14" xfId="33" applyNumberFormat="1" applyFont="1" applyBorder="1" applyAlignment="1">
      <alignment horizontal="right" vertical="center" wrapText="1"/>
    </xf>
    <xf numFmtId="10" fontId="40" fillId="0" borderId="36" xfId="33" applyNumberFormat="1" applyFont="1" applyBorder="1" applyAlignment="1">
      <alignment horizontal="right" vertical="center" wrapText="1"/>
    </xf>
    <xf numFmtId="10" fontId="12" fillId="0" borderId="4" xfId="33" applyNumberFormat="1" applyFont="1" applyBorder="1" applyAlignment="1">
      <alignment horizontal="right" vertical="center"/>
    </xf>
    <xf numFmtId="10" fontId="12" fillId="0" borderId="14" xfId="33" applyNumberFormat="1" applyFont="1" applyBorder="1" applyAlignment="1">
      <alignment vertical="center"/>
    </xf>
    <xf numFmtId="10" fontId="39" fillId="7" borderId="25" xfId="33" applyNumberFormat="1" applyFont="1" applyFill="1" applyBorder="1" applyAlignment="1">
      <alignment vertical="center"/>
    </xf>
    <xf numFmtId="10" fontId="45" fillId="8" borderId="25" xfId="33" applyNumberFormat="1" applyFont="1" applyFill="1" applyBorder="1" applyAlignment="1">
      <alignment vertical="center"/>
    </xf>
    <xf numFmtId="10" fontId="40" fillId="0" borderId="54" xfId="33" applyNumberFormat="1" applyFont="1" applyBorder="1" applyAlignment="1">
      <alignment horizontal="right" vertical="center" wrapText="1"/>
    </xf>
    <xf numFmtId="10" fontId="49" fillId="0" borderId="36" xfId="33" applyNumberFormat="1" applyFont="1" applyBorder="1" applyAlignment="1">
      <alignment horizontal="right" vertical="center" wrapText="1"/>
    </xf>
    <xf numFmtId="10" fontId="41" fillId="0" borderId="56" xfId="33" applyNumberFormat="1" applyFont="1" applyBorder="1" applyAlignment="1">
      <alignment vertical="center"/>
    </xf>
    <xf numFmtId="10" fontId="41" fillId="0" borderId="56" xfId="33" applyNumberFormat="1" applyFont="1" applyBorder="1" applyAlignment="1">
      <alignment vertical="center" wrapText="1"/>
    </xf>
    <xf numFmtId="0" fontId="72" fillId="0" borderId="58" xfId="33" applyFont="1" applyBorder="1" applyAlignment="1">
      <alignment horizontal="center" vertical="top"/>
    </xf>
    <xf numFmtId="0" fontId="73" fillId="0" borderId="58" xfId="33" applyFont="1" applyBorder="1" applyAlignment="1">
      <alignment horizontal="center" vertical="top"/>
    </xf>
    <xf numFmtId="0" fontId="73" fillId="0" borderId="137" xfId="33" applyFont="1" applyBorder="1" applyAlignment="1">
      <alignment horizontal="left" vertical="top" wrapText="1"/>
    </xf>
    <xf numFmtId="4" fontId="74" fillId="0" borderId="137" xfId="33" applyNumberFormat="1" applyFont="1" applyBorder="1" applyAlignment="1">
      <alignment vertical="top"/>
    </xf>
    <xf numFmtId="0" fontId="72" fillId="0" borderId="137" xfId="33" applyFont="1" applyBorder="1" applyAlignment="1">
      <alignment horizontal="center" vertical="top"/>
    </xf>
    <xf numFmtId="0" fontId="73" fillId="0" borderId="137" xfId="33" applyFont="1" applyBorder="1" applyAlignment="1">
      <alignment horizontal="center" vertical="top"/>
    </xf>
    <xf numFmtId="0" fontId="72" fillId="0" borderId="138" xfId="33" applyFont="1" applyBorder="1" applyAlignment="1">
      <alignment horizontal="center" vertical="top"/>
    </xf>
    <xf numFmtId="0" fontId="73" fillId="0" borderId="138" xfId="33" applyFont="1" applyBorder="1" applyAlignment="1">
      <alignment horizontal="center" vertical="top"/>
    </xf>
    <xf numFmtId="4" fontId="74" fillId="0" borderId="138" xfId="33" applyNumberFormat="1" applyFont="1" applyBorder="1" applyAlignment="1">
      <alignment vertical="top"/>
    </xf>
    <xf numFmtId="0" fontId="73" fillId="0" borderId="138" xfId="33" applyFont="1" applyBorder="1" applyAlignment="1">
      <alignment horizontal="left" vertical="top" wrapText="1"/>
    </xf>
    <xf numFmtId="0" fontId="25" fillId="14" borderId="138" xfId="33" applyFont="1" applyFill="1" applyBorder="1" applyAlignment="1">
      <alignment horizontal="right" vertical="top"/>
    </xf>
    <xf numFmtId="0" fontId="25" fillId="14" borderId="138" xfId="33" applyFont="1" applyFill="1" applyBorder="1" applyAlignment="1">
      <alignment horizontal="right" vertical="center"/>
    </xf>
    <xf numFmtId="4" fontId="25" fillId="14" borderId="138" xfId="33" applyNumberFormat="1" applyFont="1" applyFill="1" applyBorder="1" applyAlignment="1">
      <alignment horizontal="right" vertical="center"/>
    </xf>
    <xf numFmtId="0" fontId="25" fillId="14" borderId="139" xfId="33" applyFont="1" applyFill="1" applyBorder="1" applyAlignment="1">
      <alignment horizontal="right" vertical="top"/>
    </xf>
    <xf numFmtId="0" fontId="25" fillId="14" borderId="139" xfId="33" applyFont="1" applyFill="1" applyBorder="1" applyAlignment="1">
      <alignment horizontal="right" vertical="center"/>
    </xf>
    <xf numFmtId="4" fontId="61" fillId="0" borderId="18" xfId="0" applyNumberFormat="1" applyFont="1" applyBorder="1" applyAlignment="1">
      <alignment vertical="center"/>
    </xf>
    <xf numFmtId="10" fontId="61" fillId="0" borderId="75" xfId="0" applyNumberFormat="1" applyFont="1" applyBorder="1" applyAlignment="1">
      <alignment vertical="center"/>
    </xf>
    <xf numFmtId="4" fontId="61" fillId="0" borderId="60" xfId="0" applyNumberFormat="1" applyFont="1" applyBorder="1" applyAlignment="1">
      <alignment vertical="center"/>
    </xf>
    <xf numFmtId="10" fontId="61" fillId="0" borderId="60" xfId="0" applyNumberFormat="1" applyFont="1" applyBorder="1" applyAlignment="1">
      <alignment vertical="center"/>
    </xf>
    <xf numFmtId="0" fontId="57" fillId="13" borderId="15" xfId="35" applyFont="1" applyFill="1" applyBorder="1" applyAlignment="1">
      <alignment horizontal="center" vertical="center" wrapText="1"/>
    </xf>
    <xf numFmtId="0" fontId="75" fillId="13" borderId="15" xfId="35" applyFont="1" applyFill="1" applyBorder="1" applyAlignment="1">
      <alignment horizontal="center" vertical="center" wrapText="1"/>
    </xf>
    <xf numFmtId="0" fontId="57" fillId="13" borderId="15" xfId="35" applyFont="1" applyFill="1" applyBorder="1" applyAlignment="1">
      <alignment horizontal="left" vertical="center" wrapText="1"/>
    </xf>
    <xf numFmtId="4" fontId="57" fillId="13" borderId="15" xfId="35" applyNumberFormat="1" applyFont="1" applyFill="1" applyBorder="1" applyAlignment="1">
      <alignment horizontal="right" vertical="center" wrapText="1"/>
    </xf>
    <xf numFmtId="10" fontId="57" fillId="13" borderId="72" xfId="35" applyNumberFormat="1" applyFont="1" applyFill="1" applyBorder="1" applyAlignment="1">
      <alignment horizontal="right" vertical="center" wrapText="1"/>
    </xf>
    <xf numFmtId="4" fontId="57" fillId="13" borderId="32" xfId="35" applyNumberFormat="1" applyFont="1" applyFill="1" applyBorder="1" applyAlignment="1">
      <alignment horizontal="right" vertical="center" wrapText="1"/>
    </xf>
    <xf numFmtId="10" fontId="57" fillId="13" borderId="32" xfId="35" applyNumberFormat="1" applyFont="1" applyFill="1" applyBorder="1" applyAlignment="1">
      <alignment horizontal="right" vertical="center" wrapText="1"/>
    </xf>
    <xf numFmtId="0" fontId="64" fillId="8" borderId="20" xfId="35" applyFont="1" applyFill="1" applyBorder="1" applyAlignment="1">
      <alignment horizontal="center" vertical="center" wrapText="1"/>
    </xf>
    <xf numFmtId="0" fontId="64" fillId="8" borderId="20" xfId="35" applyFont="1" applyFill="1" applyBorder="1" applyAlignment="1">
      <alignment horizontal="left" vertical="center" wrapText="1"/>
    </xf>
    <xf numFmtId="4" fontId="64" fillId="8" borderId="18" xfId="35" applyNumberFormat="1" applyFont="1" applyFill="1" applyBorder="1" applyAlignment="1">
      <alignment horizontal="right" vertical="center" wrapText="1"/>
    </xf>
    <xf numFmtId="10" fontId="64" fillId="8" borderId="75" xfId="35" applyNumberFormat="1" applyFont="1" applyFill="1" applyBorder="1" applyAlignment="1">
      <alignment horizontal="right" vertical="center" wrapText="1"/>
    </xf>
    <xf numFmtId="4" fontId="64" fillId="8" borderId="31" xfId="35" applyNumberFormat="1" applyFont="1" applyFill="1" applyBorder="1" applyAlignment="1">
      <alignment horizontal="right" vertical="center" wrapText="1"/>
    </xf>
    <xf numFmtId="10" fontId="64" fillId="8" borderId="31" xfId="35" applyNumberFormat="1" applyFont="1" applyFill="1" applyBorder="1" applyAlignment="1">
      <alignment horizontal="right" vertical="center" wrapText="1"/>
    </xf>
    <xf numFmtId="0" fontId="36" fillId="0" borderId="140" xfId="33" applyFont="1" applyBorder="1" applyAlignment="1">
      <alignment horizontal="center" vertical="center"/>
    </xf>
    <xf numFmtId="0" fontId="37" fillId="0" borderId="141" xfId="33" applyFont="1" applyBorder="1" applyAlignment="1">
      <alignment horizontal="center" vertical="center"/>
    </xf>
    <xf numFmtId="0" fontId="38" fillId="0" borderId="130" xfId="33" applyFont="1" applyBorder="1" applyAlignment="1">
      <alignment horizontal="center" vertical="center"/>
    </xf>
    <xf numFmtId="49" fontId="39" fillId="0" borderId="140" xfId="33" applyNumberFormat="1" applyFont="1" applyBorder="1" applyAlignment="1">
      <alignment horizontal="center" vertical="center" wrapText="1"/>
    </xf>
    <xf numFmtId="0" fontId="11" fillId="0" borderId="130" xfId="33" applyFont="1" applyBorder="1" applyAlignment="1">
      <alignment horizontal="center" vertical="center" wrapText="1"/>
    </xf>
    <xf numFmtId="49" fontId="120" fillId="0" borderId="140" xfId="33" applyNumberFormat="1" applyFont="1" applyBorder="1" applyAlignment="1">
      <alignment horizontal="center" vertical="center" wrapText="1"/>
    </xf>
    <xf numFmtId="0" fontId="38" fillId="0" borderId="142" xfId="33" applyFont="1" applyBorder="1" applyAlignment="1">
      <alignment horizontal="left" vertical="center"/>
    </xf>
    <xf numFmtId="0" fontId="42" fillId="0" borderId="43" xfId="33" applyFont="1" applyBorder="1" applyAlignment="1">
      <alignment vertical="center" wrapText="1"/>
    </xf>
    <xf numFmtId="164" fontId="43" fillId="5" borderId="140" xfId="33" applyNumberFormat="1" applyFont="1" applyFill="1" applyBorder="1" applyAlignment="1">
      <alignment horizontal="left" vertical="top" wrapText="1"/>
    </xf>
    <xf numFmtId="0" fontId="34" fillId="5" borderId="140" xfId="33" applyFont="1" applyFill="1" applyBorder="1" applyAlignment="1">
      <alignment vertical="top" wrapText="1"/>
    </xf>
    <xf numFmtId="0" fontId="34" fillId="5" borderId="141" xfId="33" applyFont="1" applyFill="1" applyBorder="1" applyAlignment="1">
      <alignment vertical="top" wrapText="1"/>
    </xf>
    <xf numFmtId="0" fontId="43" fillId="5" borderId="130" xfId="33" applyFont="1" applyFill="1" applyBorder="1" applyAlignment="1">
      <alignment horizontal="left" vertical="top" wrapText="1"/>
    </xf>
    <xf numFmtId="4" fontId="39" fillId="5" borderId="140" xfId="33" applyNumberFormat="1" applyFont="1" applyFill="1" applyBorder="1" applyAlignment="1">
      <alignment horizontal="right" vertical="center"/>
    </xf>
    <xf numFmtId="10" fontId="39" fillId="5" borderId="140" xfId="33" applyNumberFormat="1" applyFont="1" applyFill="1" applyBorder="1" applyAlignment="1">
      <alignment horizontal="right" vertical="center"/>
    </xf>
    <xf numFmtId="165" fontId="44" fillId="6" borderId="140" xfId="33" applyNumberFormat="1" applyFont="1" applyFill="1" applyBorder="1" applyAlignment="1">
      <alignment horizontal="left" vertical="top" wrapText="1"/>
    </xf>
    <xf numFmtId="0" fontId="34" fillId="6" borderId="141" xfId="33" applyFont="1" applyFill="1" applyBorder="1" applyAlignment="1">
      <alignment vertical="top" wrapText="1"/>
    </xf>
    <xf numFmtId="0" fontId="44" fillId="6" borderId="130" xfId="33" applyFont="1" applyFill="1" applyBorder="1" applyAlignment="1">
      <alignment horizontal="left" vertical="top" wrapText="1"/>
    </xf>
    <xf numFmtId="4" fontId="45" fillId="6" borderId="140" xfId="33" applyNumberFormat="1" applyFont="1" applyFill="1" applyBorder="1" applyAlignment="1">
      <alignment horizontal="right" vertical="center"/>
    </xf>
    <xf numFmtId="10" fontId="45" fillId="6" borderId="140" xfId="33" applyNumberFormat="1" applyFont="1" applyFill="1" applyBorder="1" applyAlignment="1">
      <alignment horizontal="right" vertical="center"/>
    </xf>
    <xf numFmtId="0" fontId="34" fillId="0" borderId="143" xfId="33" applyFont="1" applyBorder="1" applyAlignment="1">
      <alignment vertical="top" wrapText="1"/>
    </xf>
    <xf numFmtId="166" fontId="44" fillId="0" borderId="141" xfId="33" applyNumberFormat="1" applyFont="1" applyBorder="1" applyAlignment="1">
      <alignment horizontal="left" vertical="top" wrapText="1"/>
    </xf>
    <xf numFmtId="0" fontId="44" fillId="0" borderId="130" xfId="33" applyFont="1" applyBorder="1" applyAlignment="1">
      <alignment horizontal="left" vertical="top" wrapText="1"/>
    </xf>
    <xf numFmtId="4" fontId="45" fillId="0" borderId="140" xfId="33" applyNumberFormat="1" applyFont="1" applyBorder="1" applyAlignment="1">
      <alignment horizontal="right" vertical="center"/>
    </xf>
    <xf numFmtId="4" fontId="44" fillId="0" borderId="140" xfId="33" applyNumberFormat="1" applyFont="1" applyBorder="1" applyAlignment="1">
      <alignment horizontal="right" vertical="center" wrapText="1"/>
    </xf>
    <xf numFmtId="10" fontId="45" fillId="0" borderId="140" xfId="33" applyNumberFormat="1" applyFont="1" applyBorder="1" applyAlignment="1">
      <alignment horizontal="right" vertical="center"/>
    </xf>
    <xf numFmtId="0" fontId="44" fillId="6" borderId="131" xfId="33" applyFont="1" applyFill="1" applyBorder="1" applyAlignment="1">
      <alignment horizontal="left" vertical="top" wrapText="1"/>
    </xf>
    <xf numFmtId="4" fontId="45" fillId="6" borderId="143" xfId="33" applyNumberFormat="1" applyFont="1" applyFill="1" applyBorder="1" applyAlignment="1">
      <alignment horizontal="right" vertical="center"/>
    </xf>
    <xf numFmtId="4" fontId="44" fillId="6" borderId="143" xfId="33" applyNumberFormat="1" applyFont="1" applyFill="1" applyBorder="1" applyAlignment="1">
      <alignment horizontal="right" vertical="center" wrapText="1"/>
    </xf>
    <xf numFmtId="10" fontId="45" fillId="6" borderId="143" xfId="33" applyNumberFormat="1" applyFont="1" applyFill="1" applyBorder="1" applyAlignment="1">
      <alignment horizontal="right" vertical="center"/>
    </xf>
    <xf numFmtId="0" fontId="34" fillId="0" borderId="144" xfId="33" applyFont="1" applyBorder="1" applyAlignment="1">
      <alignment vertical="top" wrapText="1"/>
    </xf>
    <xf numFmtId="166" fontId="44" fillId="0" borderId="145" xfId="33" applyNumberFormat="1" applyFont="1" applyBorder="1" applyAlignment="1">
      <alignment horizontal="left" vertical="top" wrapText="1"/>
    </xf>
    <xf numFmtId="0" fontId="44" fillId="0" borderId="132" xfId="33" applyFont="1" applyBorder="1" applyAlignment="1">
      <alignment horizontal="left" vertical="top" wrapText="1"/>
    </xf>
    <xf numFmtId="4" fontId="45" fillId="0" borderId="144" xfId="33" applyNumberFormat="1" applyFont="1" applyBorder="1" applyAlignment="1">
      <alignment horizontal="right" vertical="center"/>
    </xf>
    <xf numFmtId="4" fontId="44" fillId="0" borderId="144" xfId="33" applyNumberFormat="1" applyFont="1" applyBorder="1" applyAlignment="1">
      <alignment horizontal="right" vertical="center" wrapText="1"/>
    </xf>
    <xf numFmtId="10" fontId="45" fillId="0" borderId="144" xfId="33" applyNumberFormat="1" applyFont="1" applyBorder="1" applyAlignment="1">
      <alignment horizontal="right" vertical="center"/>
    </xf>
    <xf numFmtId="0" fontId="41" fillId="0" borderId="106" xfId="33" applyFont="1" applyBorder="1" applyAlignment="1">
      <alignment vertical="center" wrapText="1"/>
    </xf>
    <xf numFmtId="4" fontId="12" fillId="0" borderId="111" xfId="33" applyNumberFormat="1" applyFont="1" applyBorder="1" applyAlignment="1">
      <alignment vertical="center"/>
    </xf>
    <xf numFmtId="10" fontId="12" fillId="0" borderId="111" xfId="33" applyNumberFormat="1" applyFont="1" applyBorder="1" applyAlignment="1">
      <alignment vertical="center"/>
    </xf>
    <xf numFmtId="0" fontId="39" fillId="7" borderId="26" xfId="33" applyFont="1" applyFill="1" applyBorder="1" applyAlignment="1">
      <alignment horizontal="left" vertical="center" wrapText="1"/>
    </xf>
    <xf numFmtId="10" fontId="45" fillId="8" borderId="14" xfId="33" applyNumberFormat="1" applyFont="1" applyFill="1" applyBorder="1" applyAlignment="1">
      <alignment vertical="center"/>
    </xf>
    <xf numFmtId="0" fontId="44" fillId="0" borderId="127" xfId="33" applyFont="1" applyBorder="1" applyAlignment="1">
      <alignment horizontal="left" vertical="top" wrapText="1"/>
    </xf>
    <xf numFmtId="10" fontId="45" fillId="0" borderId="47" xfId="33" applyNumberFormat="1" applyFont="1" applyBorder="1" applyAlignment="1">
      <alignment vertical="center"/>
    </xf>
    <xf numFmtId="10" fontId="39" fillId="7" borderId="14" xfId="33" applyNumberFormat="1" applyFont="1" applyFill="1" applyBorder="1" applyAlignment="1">
      <alignment horizontal="right" vertical="center"/>
    </xf>
    <xf numFmtId="4" fontId="45" fillId="8" borderId="111" xfId="33" applyNumberFormat="1" applyFont="1" applyFill="1" applyBorder="1" applyAlignment="1">
      <alignment horizontal="right" vertical="center"/>
    </xf>
    <xf numFmtId="10" fontId="45" fillId="8" borderId="14" xfId="33" applyNumberFormat="1" applyFont="1" applyFill="1" applyBorder="1" applyAlignment="1">
      <alignment horizontal="right" vertical="center"/>
    </xf>
    <xf numFmtId="10" fontId="45" fillId="9" borderId="47" xfId="33" applyNumberFormat="1" applyFont="1" applyFill="1" applyBorder="1" applyAlignment="1">
      <alignment horizontal="right" vertical="center"/>
    </xf>
    <xf numFmtId="4" fontId="44" fillId="0" borderId="111" xfId="33" applyNumberFormat="1" applyFont="1" applyBorder="1" applyAlignment="1">
      <alignment horizontal="right" vertical="center" wrapText="1"/>
    </xf>
    <xf numFmtId="10" fontId="45" fillId="0" borderId="14" xfId="33" applyNumberFormat="1" applyFont="1" applyBorder="1" applyAlignment="1">
      <alignment vertical="center"/>
    </xf>
    <xf numFmtId="0" fontId="34" fillId="0" borderId="126" xfId="33" applyFont="1" applyBorder="1" applyAlignment="1">
      <alignment vertical="top" wrapText="1"/>
    </xf>
    <xf numFmtId="166" fontId="44" fillId="0" borderId="147" xfId="33" applyNumberFormat="1" applyFont="1" applyBorder="1" applyAlignment="1">
      <alignment horizontal="left" vertical="top" wrapText="1"/>
    </xf>
    <xf numFmtId="4" fontId="45" fillId="0" borderId="126" xfId="33" applyNumberFormat="1" applyFont="1" applyBorder="1" applyAlignment="1">
      <alignment horizontal="right" vertical="center"/>
    </xf>
    <xf numFmtId="4" fontId="44" fillId="0" borderId="126" xfId="33" applyNumberFormat="1" applyFont="1" applyBorder="1" applyAlignment="1">
      <alignment horizontal="right" vertical="center" wrapText="1"/>
    </xf>
    <xf numFmtId="10" fontId="45" fillId="0" borderId="126" xfId="33" applyNumberFormat="1" applyFont="1" applyBorder="1" applyAlignment="1">
      <alignment horizontal="right" vertical="center"/>
    </xf>
    <xf numFmtId="0" fontId="34" fillId="0" borderId="143" xfId="33" applyFont="1" applyFill="1" applyBorder="1" applyAlignment="1">
      <alignment vertical="top" wrapText="1"/>
    </xf>
    <xf numFmtId="0" fontId="34" fillId="0" borderId="111" xfId="33" applyFont="1" applyBorder="1" applyAlignment="1">
      <alignment vertical="top" wrapText="1"/>
    </xf>
    <xf numFmtId="10" fontId="45" fillId="0" borderId="25" xfId="33" applyNumberFormat="1" applyFont="1" applyBorder="1" applyAlignment="1">
      <alignment horizontal="right" vertical="center"/>
    </xf>
    <xf numFmtId="0" fontId="46" fillId="5" borderId="130" xfId="33" applyFont="1" applyFill="1" applyBorder="1" applyAlignment="1">
      <alignment horizontal="left" vertical="top" wrapText="1"/>
    </xf>
    <xf numFmtId="0" fontId="34" fillId="5" borderId="111" xfId="33" applyFont="1" applyFill="1" applyBorder="1" applyAlignment="1">
      <alignment vertical="top" wrapText="1"/>
    </xf>
    <xf numFmtId="0" fontId="43" fillId="5" borderId="106" xfId="33" applyFont="1" applyFill="1" applyBorder="1" applyAlignment="1">
      <alignment horizontal="left" vertical="top" wrapText="1"/>
    </xf>
    <xf numFmtId="4" fontId="39" fillId="5" borderId="111" xfId="33" applyNumberFormat="1" applyFont="1" applyFill="1" applyBorder="1" applyAlignment="1">
      <alignment horizontal="right" vertical="center"/>
    </xf>
    <xf numFmtId="10" fontId="39" fillId="5" borderId="111" xfId="33" applyNumberFormat="1" applyFont="1" applyFill="1" applyBorder="1" applyAlignment="1">
      <alignment horizontal="right" vertical="center"/>
    </xf>
    <xf numFmtId="10" fontId="45" fillId="11" borderId="25" xfId="33" applyNumberFormat="1" applyFont="1" applyFill="1" applyBorder="1" applyAlignment="1">
      <alignment horizontal="right" vertical="center"/>
    </xf>
    <xf numFmtId="10" fontId="45" fillId="10" borderId="25" xfId="33" applyNumberFormat="1" applyFont="1" applyFill="1" applyBorder="1" applyAlignment="1">
      <alignment horizontal="right" vertical="center"/>
    </xf>
    <xf numFmtId="10" fontId="45" fillId="6" borderId="25" xfId="33" applyNumberFormat="1" applyFont="1" applyFill="1" applyBorder="1" applyAlignment="1">
      <alignment horizontal="right" vertical="center"/>
    </xf>
    <xf numFmtId="10" fontId="45" fillId="0" borderId="14" xfId="33" applyNumberFormat="1" applyFont="1" applyBorder="1" applyAlignment="1">
      <alignment horizontal="right" vertical="center"/>
    </xf>
    <xf numFmtId="0" fontId="34" fillId="6" borderId="126" xfId="33" applyFont="1" applyFill="1" applyBorder="1" applyAlignment="1">
      <alignment horizontal="left" vertical="top" wrapText="1"/>
    </xf>
    <xf numFmtId="166" fontId="44" fillId="6" borderId="129" xfId="33" applyNumberFormat="1" applyFont="1" applyFill="1" applyBorder="1" applyAlignment="1">
      <alignment horizontal="left" vertical="top" wrapText="1"/>
    </xf>
    <xf numFmtId="0" fontId="44" fillId="6" borderId="127" xfId="33" applyFont="1" applyFill="1" applyBorder="1" applyAlignment="1">
      <alignment horizontal="left" vertical="top" wrapText="1"/>
    </xf>
    <xf numFmtId="4" fontId="45" fillId="6" borderId="126" xfId="33" applyNumberFormat="1" applyFont="1" applyFill="1" applyBorder="1" applyAlignment="1">
      <alignment horizontal="right" vertical="center"/>
    </xf>
    <xf numFmtId="10" fontId="45" fillId="6" borderId="126" xfId="33" applyNumberFormat="1" applyFont="1" applyFill="1" applyBorder="1" applyAlignment="1">
      <alignment horizontal="right" vertical="center"/>
    </xf>
    <xf numFmtId="10" fontId="45" fillId="0" borderId="11" xfId="33" applyNumberFormat="1" applyFont="1" applyBorder="1" applyAlignment="1">
      <alignment horizontal="right" vertical="center"/>
    </xf>
    <xf numFmtId="0" fontId="41" fillId="0" borderId="23" xfId="33" applyFont="1" applyBorder="1" applyAlignment="1">
      <alignment vertical="center" wrapText="1"/>
    </xf>
    <xf numFmtId="10" fontId="39" fillId="0" borderId="25" xfId="33" applyNumberFormat="1" applyFont="1" applyBorder="1" applyAlignment="1">
      <alignment horizontal="right" vertical="center"/>
    </xf>
    <xf numFmtId="0" fontId="39" fillId="7" borderId="26" xfId="33" applyFont="1" applyFill="1" applyBorder="1" applyAlignment="1">
      <alignment horizontal="left" vertical="top" wrapText="1"/>
    </xf>
    <xf numFmtId="10" fontId="45" fillId="7" borderId="25" xfId="33" applyNumberFormat="1" applyFont="1" applyFill="1" applyBorder="1" applyAlignment="1">
      <alignment horizontal="right" vertical="center"/>
    </xf>
    <xf numFmtId="10" fontId="45" fillId="8" borderId="25" xfId="33" applyNumberFormat="1" applyFont="1" applyFill="1" applyBorder="1" applyAlignment="1">
      <alignment horizontal="right" vertical="center"/>
    </xf>
    <xf numFmtId="0" fontId="34" fillId="11" borderId="140" xfId="33" applyFont="1" applyFill="1" applyBorder="1" applyAlignment="1">
      <alignment horizontal="left" vertical="top" wrapText="1"/>
    </xf>
    <xf numFmtId="0" fontId="41" fillId="0" borderId="5" xfId="33" applyFont="1" applyFill="1" applyBorder="1" applyAlignment="1">
      <alignment vertical="center" wrapText="1"/>
    </xf>
    <xf numFmtId="10" fontId="39" fillId="5" borderId="14" xfId="33" applyNumberFormat="1" applyFont="1" applyFill="1" applyBorder="1" applyAlignment="1">
      <alignment horizontal="right" vertical="center"/>
    </xf>
    <xf numFmtId="0" fontId="34" fillId="0" borderId="140" xfId="33" applyFont="1" applyBorder="1" applyAlignment="1">
      <alignment vertical="top" wrapText="1"/>
    </xf>
    <xf numFmtId="0" fontId="41" fillId="0" borderId="43" xfId="33" applyFont="1" applyFill="1" applyBorder="1" applyAlignment="1">
      <alignment horizontal="left" vertical="center" wrapText="1"/>
    </xf>
    <xf numFmtId="164" fontId="43" fillId="5" borderId="140" xfId="33" quotePrefix="1" applyNumberFormat="1" applyFont="1" applyFill="1" applyBorder="1" applyAlignment="1">
      <alignment horizontal="left" vertical="top" wrapText="1"/>
    </xf>
    <xf numFmtId="165" fontId="44" fillId="6" borderId="140" xfId="33" quotePrefix="1" applyNumberFormat="1" applyFont="1" applyFill="1" applyBorder="1" applyAlignment="1">
      <alignment horizontal="left" vertical="top" wrapText="1"/>
    </xf>
    <xf numFmtId="0" fontId="44" fillId="0" borderId="131" xfId="33" applyFont="1" applyBorder="1" applyAlignment="1">
      <alignment horizontal="left" vertical="top" wrapText="1"/>
    </xf>
    <xf numFmtId="4" fontId="45" fillId="0" borderId="127" xfId="33" applyNumberFormat="1" applyFont="1" applyBorder="1" applyAlignment="1">
      <alignment horizontal="right" vertical="center"/>
    </xf>
    <xf numFmtId="10" fontId="45" fillId="0" borderId="147" xfId="33" applyNumberFormat="1" applyFont="1" applyBorder="1" applyAlignment="1">
      <alignment horizontal="right" vertical="center"/>
    </xf>
    <xf numFmtId="10" fontId="39" fillId="7" borderId="14" xfId="33" applyNumberFormat="1" applyFont="1" applyFill="1" applyBorder="1" applyAlignment="1">
      <alignment vertical="center"/>
    </xf>
    <xf numFmtId="0" fontId="34" fillId="0" borderId="133" xfId="33" applyFont="1" applyFill="1" applyBorder="1" applyAlignment="1">
      <alignment horizontal="left" vertical="center" wrapText="1"/>
    </xf>
    <xf numFmtId="0" fontId="34" fillId="0" borderId="133" xfId="33" applyFont="1" applyFill="1" applyBorder="1" applyAlignment="1">
      <alignment horizontal="left" vertical="top" wrapText="1"/>
    </xf>
    <xf numFmtId="0" fontId="44" fillId="0" borderId="148" xfId="33" applyFont="1" applyBorder="1" applyAlignment="1">
      <alignment horizontal="left" vertical="top" wrapText="1"/>
    </xf>
    <xf numFmtId="4" fontId="45" fillId="0" borderId="111" xfId="33" applyNumberFormat="1" applyFont="1" applyBorder="1" applyAlignment="1">
      <alignment vertical="center"/>
    </xf>
    <xf numFmtId="10" fontId="45" fillId="0" borderId="111" xfId="33" applyNumberFormat="1" applyFont="1" applyBorder="1" applyAlignment="1">
      <alignment vertical="center"/>
    </xf>
    <xf numFmtId="4" fontId="45" fillId="0" borderId="134" xfId="33" applyNumberFormat="1" applyFont="1" applyBorder="1" applyAlignment="1">
      <alignment vertical="center"/>
    </xf>
    <xf numFmtId="10" fontId="45" fillId="0" borderId="134" xfId="33" applyNumberFormat="1" applyFont="1" applyBorder="1" applyAlignment="1">
      <alignment vertical="center"/>
    </xf>
    <xf numFmtId="0" fontId="40" fillId="7" borderId="26" xfId="33" applyFont="1" applyFill="1" applyBorder="1" applyAlignment="1">
      <alignment horizontal="center" vertical="center" wrapText="1"/>
    </xf>
    <xf numFmtId="10" fontId="45" fillId="9" borderId="25" xfId="33" applyNumberFormat="1" applyFont="1" applyFill="1" applyBorder="1" applyAlignment="1">
      <alignment vertical="center"/>
    </xf>
    <xf numFmtId="10" fontId="45" fillId="0" borderId="25" xfId="33" applyNumberFormat="1" applyFont="1" applyBorder="1" applyAlignment="1">
      <alignment vertical="center"/>
    </xf>
    <xf numFmtId="10" fontId="45" fillId="0" borderId="21" xfId="33" applyNumberFormat="1" applyFont="1" applyBorder="1" applyAlignment="1">
      <alignment vertical="center"/>
    </xf>
    <xf numFmtId="0" fontId="34" fillId="0" borderId="143" xfId="33" applyFont="1" applyFill="1" applyBorder="1" applyAlignment="1">
      <alignment horizontal="left" vertical="top" wrapText="1"/>
    </xf>
    <xf numFmtId="0" fontId="34" fillId="0" borderId="111" xfId="33" applyFont="1" applyBorder="1" applyAlignment="1">
      <alignment horizontal="left" vertical="top" wrapText="1"/>
    </xf>
    <xf numFmtId="4" fontId="45" fillId="0" borderId="143" xfId="33" applyNumberFormat="1" applyFont="1" applyBorder="1" applyAlignment="1">
      <alignment horizontal="right" vertical="center"/>
    </xf>
    <xf numFmtId="4" fontId="44" fillId="0" borderId="143" xfId="33" applyNumberFormat="1" applyFont="1" applyBorder="1" applyAlignment="1">
      <alignment horizontal="right" vertical="center" wrapText="1"/>
    </xf>
    <xf numFmtId="10" fontId="45" fillId="0" borderId="143" xfId="33" applyNumberFormat="1" applyFont="1" applyBorder="1" applyAlignment="1">
      <alignment horizontal="right" vertical="center"/>
    </xf>
    <xf numFmtId="0" fontId="34" fillId="0" borderId="106" xfId="33" applyFont="1" applyBorder="1" applyAlignment="1">
      <alignment horizontal="left" vertical="top" wrapText="1"/>
    </xf>
    <xf numFmtId="0" fontId="34" fillId="0" borderId="133" xfId="33" applyFont="1" applyBorder="1" applyAlignment="1">
      <alignment vertical="top" wrapText="1"/>
    </xf>
    <xf numFmtId="4" fontId="45" fillId="0" borderId="134" xfId="33" applyNumberFormat="1" applyFont="1" applyBorder="1" applyAlignment="1">
      <alignment horizontal="right" vertical="center"/>
    </xf>
    <xf numFmtId="10" fontId="45" fillId="0" borderId="134" xfId="33" applyNumberFormat="1" applyFont="1" applyBorder="1" applyAlignment="1">
      <alignment horizontal="right" vertical="center"/>
    </xf>
    <xf numFmtId="10" fontId="39" fillId="7" borderId="25" xfId="33" applyNumberFormat="1" applyFont="1" applyFill="1" applyBorder="1" applyAlignment="1">
      <alignment horizontal="right" vertical="center"/>
    </xf>
    <xf numFmtId="0" fontId="39" fillId="9" borderId="134" xfId="33" applyFont="1" applyFill="1" applyBorder="1" applyAlignment="1">
      <alignment vertical="top" wrapText="1"/>
    </xf>
    <xf numFmtId="0" fontId="39" fillId="9" borderId="111" xfId="33" applyFont="1" applyFill="1" applyBorder="1" applyAlignment="1">
      <alignment vertical="top" wrapText="1"/>
    </xf>
    <xf numFmtId="10" fontId="45" fillId="9" borderId="25" xfId="33" applyNumberFormat="1" applyFont="1" applyFill="1" applyBorder="1" applyAlignment="1">
      <alignment horizontal="right" vertical="center"/>
    </xf>
    <xf numFmtId="0" fontId="39" fillId="9" borderId="14" xfId="33" applyFont="1" applyFill="1" applyBorder="1" applyAlignment="1">
      <alignment vertical="top" wrapText="1"/>
    </xf>
    <xf numFmtId="0" fontId="44" fillId="0" borderId="106" xfId="33" applyFont="1" applyBorder="1" applyAlignment="1">
      <alignment horizontal="left" vertical="top" wrapText="1"/>
    </xf>
    <xf numFmtId="4" fontId="45" fillId="0" borderId="111" xfId="33" applyNumberFormat="1" applyFont="1" applyBorder="1" applyAlignment="1">
      <alignment horizontal="right" vertical="center"/>
    </xf>
    <xf numFmtId="10" fontId="45" fillId="0" borderId="111" xfId="33" applyNumberFormat="1" applyFont="1" applyBorder="1" applyAlignment="1">
      <alignment horizontal="right" vertical="center"/>
    </xf>
    <xf numFmtId="0" fontId="34" fillId="5" borderId="149" xfId="33" applyFont="1" applyFill="1" applyBorder="1" applyAlignment="1">
      <alignment vertical="top" wrapText="1"/>
    </xf>
    <xf numFmtId="0" fontId="34" fillId="5" borderId="150" xfId="33" applyFont="1" applyFill="1" applyBorder="1" applyAlignment="1">
      <alignment vertical="top" wrapText="1"/>
    </xf>
    <xf numFmtId="0" fontId="43" fillId="5" borderId="151" xfId="33" applyFont="1" applyFill="1" applyBorder="1" applyAlignment="1">
      <alignment horizontal="left" vertical="top" wrapText="1"/>
    </xf>
    <xf numFmtId="4" fontId="39" fillId="5" borderId="149" xfId="33" applyNumberFormat="1" applyFont="1" applyFill="1" applyBorder="1" applyAlignment="1">
      <alignment horizontal="right" vertical="center"/>
    </xf>
    <xf numFmtId="10" fontId="39" fillId="5" borderId="149" xfId="33" applyNumberFormat="1" applyFont="1" applyFill="1" applyBorder="1" applyAlignment="1">
      <alignment horizontal="right" vertical="center"/>
    </xf>
    <xf numFmtId="10" fontId="45" fillId="6" borderId="14" xfId="33" applyNumberFormat="1" applyFont="1" applyFill="1" applyBorder="1" applyAlignment="1">
      <alignment horizontal="right" vertical="center"/>
    </xf>
    <xf numFmtId="0" fontId="41" fillId="0" borderId="152" xfId="33" applyFont="1" applyBorder="1" applyAlignment="1">
      <alignment vertical="center" wrapText="1"/>
    </xf>
    <xf numFmtId="0" fontId="39" fillId="7" borderId="48" xfId="33" applyFont="1" applyFill="1" applyBorder="1" applyAlignment="1">
      <alignment horizontal="left" vertical="center" wrapText="1"/>
    </xf>
    <xf numFmtId="10" fontId="40" fillId="7" borderId="11" xfId="33" applyNumberFormat="1" applyFont="1" applyFill="1" applyBorder="1" applyAlignment="1">
      <alignment vertical="center"/>
    </xf>
    <xf numFmtId="10" fontId="34" fillId="8" borderId="25" xfId="33" applyNumberFormat="1" applyFont="1" applyFill="1" applyBorder="1" applyAlignment="1">
      <alignment vertical="center"/>
    </xf>
    <xf numFmtId="10" fontId="34" fillId="0" borderId="25" xfId="33" applyNumberFormat="1" applyFont="1" applyBorder="1" applyAlignment="1">
      <alignment horizontal="right" vertical="center"/>
    </xf>
    <xf numFmtId="10" fontId="40" fillId="7" borderId="25" xfId="33" applyNumberFormat="1" applyFont="1" applyFill="1" applyBorder="1" applyAlignment="1">
      <alignment vertical="center"/>
    </xf>
    <xf numFmtId="10" fontId="34" fillId="0" borderId="21" xfId="33" applyNumberFormat="1" applyFont="1" applyBorder="1" applyAlignment="1">
      <alignment vertical="center"/>
    </xf>
    <xf numFmtId="4" fontId="39" fillId="5" borderId="111" xfId="33" applyNumberFormat="1" applyFont="1" applyFill="1" applyBorder="1" applyAlignment="1">
      <alignment horizontal="right" vertical="top"/>
    </xf>
    <xf numFmtId="10" fontId="39" fillId="5" borderId="111" xfId="33" applyNumberFormat="1" applyFont="1" applyFill="1" applyBorder="1" applyAlignment="1">
      <alignment horizontal="right" vertical="top"/>
    </xf>
    <xf numFmtId="0" fontId="34" fillId="6" borderId="143" xfId="33" applyFont="1" applyFill="1" applyBorder="1" applyAlignment="1">
      <alignment horizontal="left" vertical="top" wrapText="1"/>
    </xf>
    <xf numFmtId="4" fontId="45" fillId="6" borderId="143" xfId="33" applyNumberFormat="1" applyFont="1" applyFill="1" applyBorder="1" applyAlignment="1">
      <alignment horizontal="right" vertical="top"/>
    </xf>
    <xf numFmtId="10" fontId="45" fillId="6" borderId="143" xfId="33" applyNumberFormat="1" applyFont="1" applyFill="1" applyBorder="1" applyAlignment="1">
      <alignment horizontal="right" vertical="top"/>
    </xf>
    <xf numFmtId="166" fontId="44" fillId="0" borderId="133" xfId="33" applyNumberFormat="1" applyFont="1" applyBorder="1" applyAlignment="1">
      <alignment horizontal="left" vertical="top" wrapText="1"/>
    </xf>
    <xf numFmtId="0" fontId="44" fillId="0" borderId="133" xfId="33" applyFont="1" applyBorder="1" applyAlignment="1">
      <alignment horizontal="left" vertical="top" wrapText="1"/>
    </xf>
    <xf numFmtId="4" fontId="45" fillId="0" borderId="154" xfId="33" applyNumberFormat="1" applyFont="1" applyBorder="1" applyAlignment="1">
      <alignment horizontal="right" vertical="center"/>
    </xf>
    <xf numFmtId="4" fontId="44" fillId="0" borderId="148" xfId="33" applyNumberFormat="1" applyFont="1" applyBorder="1" applyAlignment="1">
      <alignment horizontal="right" vertical="center" wrapText="1"/>
    </xf>
    <xf numFmtId="10" fontId="45" fillId="0" borderId="154" xfId="33" applyNumberFormat="1" applyFont="1" applyBorder="1" applyAlignment="1">
      <alignment horizontal="right" vertical="center"/>
    </xf>
    <xf numFmtId="0" fontId="38" fillId="0" borderId="114" xfId="33" applyFont="1" applyBorder="1" applyAlignment="1">
      <alignment horizontal="left" vertical="center"/>
    </xf>
    <xf numFmtId="0" fontId="38" fillId="7" borderId="26" xfId="33" applyFont="1" applyFill="1" applyBorder="1" applyAlignment="1">
      <alignment horizontal="left" vertical="center"/>
    </xf>
    <xf numFmtId="10" fontId="40" fillId="7" borderId="21" xfId="33" applyNumberFormat="1" applyFont="1" applyFill="1" applyBorder="1" applyAlignment="1">
      <alignment horizontal="right" vertical="center" wrapText="1"/>
    </xf>
    <xf numFmtId="0" fontId="38" fillId="8" borderId="26" xfId="33" applyFont="1" applyFill="1" applyBorder="1" applyAlignment="1">
      <alignment horizontal="left" vertical="center"/>
    </xf>
    <xf numFmtId="10" fontId="45" fillId="8" borderId="21" xfId="33" applyNumberFormat="1" applyFont="1" applyFill="1" applyBorder="1" applyAlignment="1">
      <alignment horizontal="right" vertical="center" wrapText="1"/>
    </xf>
    <xf numFmtId="0" fontId="38" fillId="0" borderId="26" xfId="33" applyFont="1" applyBorder="1" applyAlignment="1">
      <alignment horizontal="left" vertical="center"/>
    </xf>
    <xf numFmtId="10" fontId="45" fillId="0" borderId="21" xfId="33" applyNumberFormat="1" applyFont="1" applyBorder="1" applyAlignment="1">
      <alignment horizontal="right" vertical="center" wrapText="1"/>
    </xf>
    <xf numFmtId="0" fontId="6" fillId="7" borderId="26" xfId="33" applyFont="1" applyFill="1" applyBorder="1" applyAlignment="1">
      <alignment horizontal="left" vertical="center"/>
    </xf>
    <xf numFmtId="10" fontId="39" fillId="7" borderId="21" xfId="33" applyNumberFormat="1" applyFont="1" applyFill="1" applyBorder="1" applyAlignment="1">
      <alignment horizontal="right" vertical="center" wrapText="1"/>
    </xf>
    <xf numFmtId="10" fontId="40" fillId="0" borderId="21" xfId="33" applyNumberFormat="1" applyFont="1" applyBorder="1" applyAlignment="1">
      <alignment vertical="center"/>
    </xf>
    <xf numFmtId="0" fontId="34" fillId="0" borderId="57" xfId="33" applyFont="1" applyFill="1" applyBorder="1" applyAlignment="1">
      <alignment horizontal="left" vertical="center" wrapText="1"/>
    </xf>
    <xf numFmtId="0" fontId="34" fillId="0" borderId="57" xfId="33" applyFont="1" applyFill="1" applyBorder="1" applyAlignment="1">
      <alignment horizontal="left" vertical="top" wrapText="1"/>
    </xf>
    <xf numFmtId="0" fontId="44" fillId="0" borderId="40" xfId="33" applyFont="1" applyBorder="1" applyAlignment="1">
      <alignment horizontal="left" vertical="top" wrapText="1"/>
    </xf>
    <xf numFmtId="4" fontId="45" fillId="8" borderId="12" xfId="33" applyNumberFormat="1" applyFont="1" applyFill="1" applyBorder="1" applyAlignment="1">
      <alignment vertical="center"/>
    </xf>
    <xf numFmtId="10" fontId="45" fillId="8" borderId="11" xfId="33" applyNumberFormat="1" applyFont="1" applyFill="1" applyBorder="1" applyAlignment="1">
      <alignment vertical="center"/>
    </xf>
    <xf numFmtId="0" fontId="5" fillId="0" borderId="152" xfId="33" applyFont="1" applyBorder="1" applyAlignment="1">
      <alignment horizontal="left" vertical="center"/>
    </xf>
    <xf numFmtId="0" fontId="40" fillId="0" borderId="18" xfId="40" applyFont="1" applyBorder="1" applyAlignment="1">
      <alignment horizontal="center" vertical="center" wrapText="1"/>
    </xf>
    <xf numFmtId="170" fontId="41" fillId="0" borderId="56" xfId="39" applyFont="1" applyFill="1" applyBorder="1" applyAlignment="1" applyProtection="1">
      <alignment vertical="center"/>
    </xf>
    <xf numFmtId="170" fontId="41" fillId="0" borderId="155" xfId="39" applyFont="1" applyFill="1" applyBorder="1" applyAlignment="1" applyProtection="1">
      <alignment vertical="center"/>
    </xf>
    <xf numFmtId="170" fontId="38" fillId="0" borderId="152" xfId="39" applyFont="1" applyFill="1" applyBorder="1" applyAlignment="1" applyProtection="1">
      <alignment horizontal="right" vertical="center"/>
    </xf>
    <xf numFmtId="10" fontId="77" fillId="17" borderId="44" xfId="23" applyNumberFormat="1" applyFont="1" applyFill="1" applyBorder="1" applyAlignment="1" applyProtection="1">
      <alignment horizontal="right" vertical="center" wrapText="1"/>
      <protection locked="0"/>
    </xf>
    <xf numFmtId="10" fontId="77" fillId="18" borderId="41" xfId="23" applyNumberFormat="1" applyFont="1" applyFill="1" applyBorder="1" applyAlignment="1" applyProtection="1">
      <alignment horizontal="right" vertical="center" wrapText="1"/>
      <protection locked="0"/>
    </xf>
    <xf numFmtId="10" fontId="77" fillId="16" borderId="18" xfId="23" applyNumberFormat="1" applyFont="1" applyFill="1" applyBorder="1" applyAlignment="1" applyProtection="1">
      <alignment horizontal="right" vertical="center" wrapText="1"/>
      <protection locked="0"/>
    </xf>
    <xf numFmtId="10" fontId="50" fillId="0" borderId="18" xfId="23" applyNumberFormat="1" applyFont="1" applyBorder="1" applyAlignment="1">
      <alignment vertical="center"/>
    </xf>
    <xf numFmtId="10" fontId="77" fillId="16" borderId="44" xfId="23" applyNumberFormat="1" applyFont="1" applyFill="1" applyBorder="1" applyAlignment="1" applyProtection="1">
      <alignment horizontal="right" vertical="center" wrapText="1"/>
      <protection locked="0"/>
    </xf>
    <xf numFmtId="10" fontId="77" fillId="19" borderId="34" xfId="23" applyNumberFormat="1" applyFont="1" applyFill="1" applyBorder="1" applyAlignment="1" applyProtection="1">
      <alignment horizontal="right" vertical="center" wrapText="1"/>
      <protection locked="0"/>
    </xf>
    <xf numFmtId="10" fontId="77" fillId="20" borderId="34" xfId="23" applyNumberFormat="1" applyFont="1" applyFill="1" applyBorder="1" applyAlignment="1" applyProtection="1">
      <alignment horizontal="right" vertical="center" wrapText="1"/>
      <protection locked="0"/>
    </xf>
    <xf numFmtId="10" fontId="77" fillId="16" borderId="34" xfId="23" applyNumberFormat="1" applyFont="1" applyFill="1" applyBorder="1" applyAlignment="1" applyProtection="1">
      <alignment horizontal="right" vertical="center" wrapText="1"/>
      <protection locked="0"/>
    </xf>
    <xf numFmtId="10" fontId="87" fillId="0" borderId="18" xfId="23" applyNumberFormat="1" applyFont="1" applyBorder="1" applyAlignment="1">
      <alignment vertical="center"/>
    </xf>
    <xf numFmtId="10" fontId="88" fillId="0" borderId="60" xfId="23" applyNumberFormat="1" applyFont="1" applyBorder="1" applyAlignment="1">
      <alignment vertical="center"/>
    </xf>
    <xf numFmtId="10" fontId="87" fillId="0" borderId="31" xfId="23" applyNumberFormat="1" applyFont="1" applyBorder="1" applyAlignment="1">
      <alignment vertical="center"/>
    </xf>
    <xf numFmtId="10" fontId="91" fillId="0" borderId="18" xfId="23" applyNumberFormat="1" applyFont="1" applyBorder="1" applyAlignment="1">
      <alignment vertical="center"/>
    </xf>
    <xf numFmtId="10" fontId="77" fillId="21" borderId="34" xfId="23" applyNumberFormat="1" applyFont="1" applyFill="1" applyBorder="1" applyAlignment="1" applyProtection="1">
      <alignment horizontal="right" vertical="center" wrapText="1"/>
      <protection locked="0"/>
    </xf>
    <xf numFmtId="10" fontId="77" fillId="4" borderId="34" xfId="23" applyNumberFormat="1" applyFont="1" applyFill="1" applyBorder="1" applyAlignment="1" applyProtection="1">
      <alignment horizontal="right" vertical="center" wrapText="1"/>
      <protection locked="0"/>
    </xf>
    <xf numFmtId="10" fontId="78" fillId="4" borderId="34" xfId="23" applyNumberFormat="1" applyFont="1" applyFill="1" applyBorder="1" applyAlignment="1" applyProtection="1">
      <alignment horizontal="right" vertical="center" wrapText="1"/>
      <protection locked="0"/>
    </xf>
    <xf numFmtId="10" fontId="87" fillId="0" borderId="18" xfId="23" applyNumberFormat="1" applyFont="1" applyBorder="1"/>
    <xf numFmtId="10" fontId="93" fillId="16" borderId="92" xfId="23" applyNumberFormat="1" applyFont="1" applyFill="1" applyBorder="1" applyAlignment="1" applyProtection="1">
      <alignment horizontal="right" vertical="center" wrapText="1"/>
      <protection locked="0"/>
    </xf>
    <xf numFmtId="10" fontId="3" fillId="0" borderId="29" xfId="23" applyNumberFormat="1" applyFont="1" applyBorder="1"/>
    <xf numFmtId="10" fontId="95" fillId="0" borderId="31" xfId="23" applyNumberFormat="1" applyFont="1" applyBorder="1"/>
    <xf numFmtId="10" fontId="95" fillId="0" borderId="32" xfId="23" applyNumberFormat="1" applyFont="1" applyBorder="1"/>
    <xf numFmtId="49" fontId="3" fillId="0" borderId="18" xfId="23" applyNumberFormat="1" applyFont="1" applyBorder="1" applyAlignment="1">
      <alignment horizontal="center" vertical="center" wrapText="1"/>
    </xf>
    <xf numFmtId="10" fontId="77" fillId="16" borderId="136" xfId="23" applyNumberFormat="1" applyFont="1" applyFill="1" applyBorder="1" applyAlignment="1" applyProtection="1">
      <alignment horizontal="right" vertical="center" wrapText="1"/>
      <protection locked="0"/>
    </xf>
    <xf numFmtId="10" fontId="78" fillId="16" borderId="18" xfId="23" applyNumberFormat="1" applyFont="1" applyFill="1" applyBorder="1" applyAlignment="1" applyProtection="1">
      <alignment horizontal="right" vertical="center" wrapText="1"/>
      <protection locked="0"/>
    </xf>
    <xf numFmtId="10" fontId="40" fillId="0" borderId="29" xfId="37" applyNumberFormat="1" applyFont="1" applyBorder="1"/>
    <xf numFmtId="10" fontId="96" fillId="0" borderId="31" xfId="23" applyNumberFormat="1" applyFont="1" applyBorder="1"/>
    <xf numFmtId="10" fontId="96" fillId="0" borderId="15" xfId="23" applyNumberFormat="1" applyFont="1" applyBorder="1"/>
    <xf numFmtId="10" fontId="40" fillId="0" borderId="31" xfId="23" applyNumberFormat="1" applyFont="1" applyBorder="1"/>
    <xf numFmtId="10" fontId="96" fillId="0" borderId="31" xfId="23" applyNumberFormat="1" applyFont="1" applyBorder="1" applyAlignment="1">
      <alignment vertical="top"/>
    </xf>
    <xf numFmtId="10" fontId="40" fillId="0" borderId="20" xfId="23" applyNumberFormat="1" applyFont="1" applyBorder="1"/>
    <xf numFmtId="10" fontId="98" fillId="0" borderId="87" xfId="37" applyNumberFormat="1" applyFont="1" applyBorder="1"/>
    <xf numFmtId="10" fontId="12" fillId="0" borderId="0" xfId="23" applyNumberFormat="1"/>
    <xf numFmtId="0" fontId="39" fillId="0" borderId="18" xfId="23" applyFont="1" applyBorder="1" applyAlignment="1">
      <alignment horizontal="center" vertical="center" wrapText="1"/>
    </xf>
    <xf numFmtId="49" fontId="120" fillId="0" borderId="18" xfId="37" applyNumberFormat="1" applyFont="1" applyBorder="1" applyAlignment="1">
      <alignment horizontal="center" vertical="center" wrapText="1"/>
    </xf>
    <xf numFmtId="4" fontId="52" fillId="0" borderId="86" xfId="31" applyNumberFormat="1" applyFont="1" applyBorder="1" applyAlignment="1">
      <alignment vertical="top" wrapText="1"/>
    </xf>
    <xf numFmtId="49" fontId="10" fillId="2" borderId="140" xfId="1" applyNumberFormat="1" applyFont="1" applyFill="1" applyBorder="1" applyAlignment="1" applyProtection="1">
      <alignment horizontal="left" vertical="center" wrapText="1"/>
      <protection locked="0"/>
    </xf>
    <xf numFmtId="0" fontId="121" fillId="0" borderId="18" xfId="1" applyNumberFormat="1" applyFont="1" applyFill="1" applyBorder="1" applyAlignment="1" applyProtection="1">
      <alignment horizontal="left" vertical="center" wrapText="1"/>
      <protection locked="0"/>
    </xf>
    <xf numFmtId="4" fontId="123" fillId="2" borderId="130" xfId="1" applyNumberFormat="1" applyFont="1" applyFill="1" applyBorder="1" applyAlignment="1" applyProtection="1">
      <alignment horizontal="right" vertical="center" wrapText="1"/>
      <protection locked="0"/>
    </xf>
    <xf numFmtId="4" fontId="123" fillId="2" borderId="140" xfId="1" applyNumberFormat="1" applyFont="1" applyFill="1" applyBorder="1" applyAlignment="1" applyProtection="1">
      <alignment horizontal="right" vertical="center" wrapText="1"/>
      <protection locked="0"/>
    </xf>
    <xf numFmtId="4" fontId="123" fillId="0" borderId="18" xfId="1" applyNumberFormat="1" applyFont="1" applyFill="1" applyBorder="1" applyAlignment="1" applyProtection="1">
      <alignment horizontal="right" vertical="center"/>
      <protection locked="0"/>
    </xf>
    <xf numFmtId="49" fontId="10" fillId="2" borderId="111" xfId="1" applyNumberFormat="1" applyFont="1" applyFill="1" applyBorder="1" applyAlignment="1" applyProtection="1">
      <alignment horizontal="center" vertical="center" wrapText="1"/>
      <protection locked="0"/>
    </xf>
    <xf numFmtId="49" fontId="10" fillId="2" borderId="140" xfId="1" applyNumberFormat="1" applyFont="1" applyFill="1" applyBorder="1" applyAlignment="1" applyProtection="1">
      <alignment horizontal="center" vertical="center" wrapText="1"/>
      <protection locked="0"/>
    </xf>
    <xf numFmtId="49" fontId="10" fillId="2" borderId="140" xfId="1" quotePrefix="1" applyNumberFormat="1" applyFont="1" applyFill="1" applyBorder="1" applyAlignment="1" applyProtection="1">
      <alignment horizontal="center" vertical="center" wrapText="1"/>
      <protection locked="0"/>
    </xf>
    <xf numFmtId="49" fontId="8" fillId="22" borderId="111" xfId="1" applyNumberFormat="1" applyFont="1" applyFill="1" applyBorder="1" applyAlignment="1" applyProtection="1">
      <alignment horizontal="center" vertical="center" wrapText="1"/>
      <protection locked="0"/>
    </xf>
    <xf numFmtId="49" fontId="8" fillId="22" borderId="140" xfId="1" applyNumberFormat="1" applyFont="1" applyFill="1" applyBorder="1" applyAlignment="1" applyProtection="1">
      <alignment horizontal="center" vertical="center" wrapText="1"/>
      <protection locked="0"/>
    </xf>
    <xf numFmtId="0" fontId="5" fillId="9" borderId="0" xfId="1" applyNumberFormat="1" applyFont="1" applyFill="1" applyBorder="1" applyAlignment="1" applyProtection="1">
      <alignment horizontal="left"/>
      <protection locked="0"/>
    </xf>
    <xf numFmtId="49" fontId="10" fillId="22" borderId="140" xfId="1" applyNumberFormat="1" applyFont="1" applyFill="1" applyBorder="1" applyAlignment="1" applyProtection="1">
      <alignment horizontal="center" vertical="center" wrapText="1"/>
      <protection locked="0"/>
    </xf>
    <xf numFmtId="4" fontId="123" fillId="22" borderId="140" xfId="1" applyNumberFormat="1" applyFont="1" applyFill="1" applyBorder="1" applyAlignment="1" applyProtection="1">
      <alignment horizontal="right" vertical="center" wrapText="1"/>
      <protection locked="0"/>
    </xf>
    <xf numFmtId="49" fontId="10" fillId="2" borderId="106" xfId="1" applyNumberFormat="1" applyFont="1" applyFill="1" applyBorder="1" applyAlignment="1" applyProtection="1">
      <alignment horizontal="center" vertical="center" wrapText="1"/>
      <protection locked="0"/>
    </xf>
    <xf numFmtId="49" fontId="10" fillId="2" borderId="143" xfId="1" applyNumberFormat="1" applyFont="1" applyFill="1" applyBorder="1" applyAlignment="1" applyProtection="1">
      <alignment horizontal="center" vertical="center" wrapText="1"/>
      <protection locked="0"/>
    </xf>
    <xf numFmtId="49" fontId="10" fillId="2" borderId="143" xfId="1" applyNumberFormat="1" applyFont="1" applyFill="1" applyBorder="1" applyAlignment="1" applyProtection="1">
      <alignment horizontal="left" vertical="center" wrapText="1"/>
      <protection locked="0"/>
    </xf>
    <xf numFmtId="4" fontId="123" fillId="2" borderId="143" xfId="1" applyNumberFormat="1" applyFont="1" applyFill="1" applyBorder="1" applyAlignment="1" applyProtection="1">
      <alignment horizontal="right" vertical="center" wrapText="1"/>
      <protection locked="0"/>
    </xf>
    <xf numFmtId="4" fontId="123" fillId="2" borderId="131" xfId="1" applyNumberFormat="1" applyFont="1" applyFill="1" applyBorder="1" applyAlignment="1" applyProtection="1">
      <alignment horizontal="right" vertical="center" wrapText="1"/>
      <protection locked="0"/>
    </xf>
    <xf numFmtId="4" fontId="123" fillId="0" borderId="133" xfId="1" applyNumberFormat="1" applyFont="1" applyFill="1" applyBorder="1" applyAlignment="1" applyProtection="1">
      <alignment horizontal="right" vertical="center"/>
      <protection locked="0"/>
    </xf>
    <xf numFmtId="49" fontId="10" fillId="2" borderId="18" xfId="1" quotePrefix="1" applyNumberFormat="1" applyFont="1" applyFill="1" applyBorder="1" applyAlignment="1" applyProtection="1">
      <alignment horizontal="center" vertical="center" wrapText="1"/>
      <protection locked="0"/>
    </xf>
    <xf numFmtId="49" fontId="10" fillId="2" borderId="18" xfId="1" applyNumberFormat="1" applyFont="1" applyFill="1" applyBorder="1" applyAlignment="1" applyProtection="1">
      <alignment horizontal="left" vertical="center" wrapText="1"/>
      <protection locked="0"/>
    </xf>
    <xf numFmtId="4" fontId="123" fillId="2" borderId="18" xfId="1" applyNumberFormat="1" applyFont="1" applyFill="1" applyBorder="1" applyAlignment="1" applyProtection="1">
      <alignment horizontal="right" vertical="center" wrapText="1"/>
      <protection locked="0"/>
    </xf>
    <xf numFmtId="49" fontId="10" fillId="2" borderId="130" xfId="1" applyNumberFormat="1" applyFont="1" applyFill="1" applyBorder="1" applyAlignment="1" applyProtection="1">
      <alignment horizontal="left" vertical="center" wrapText="1"/>
      <protection locked="0"/>
    </xf>
    <xf numFmtId="49" fontId="10" fillId="2" borderId="14" xfId="1" applyNumberFormat="1" applyFont="1" applyFill="1" applyBorder="1" applyAlignment="1" applyProtection="1">
      <alignment horizontal="center" vertical="center" wrapText="1"/>
      <protection locked="0"/>
    </xf>
    <xf numFmtId="49" fontId="10" fillId="2" borderId="14" xfId="1" applyNumberFormat="1" applyFont="1" applyFill="1" applyBorder="1" applyAlignment="1" applyProtection="1">
      <alignment horizontal="left" vertical="center" wrapText="1"/>
      <protection locked="0"/>
    </xf>
    <xf numFmtId="4" fontId="123" fillId="2" borderId="14" xfId="1" applyNumberFormat="1" applyFont="1" applyFill="1" applyBorder="1" applyAlignment="1" applyProtection="1">
      <alignment horizontal="right" vertical="center" wrapText="1"/>
      <protection locked="0"/>
    </xf>
    <xf numFmtId="4" fontId="123" fillId="0" borderId="15" xfId="1" applyNumberFormat="1" applyFont="1" applyFill="1" applyBorder="1" applyAlignment="1" applyProtection="1">
      <alignment horizontal="right" vertical="center"/>
      <protection locked="0"/>
    </xf>
    <xf numFmtId="49" fontId="10" fillId="2" borderId="18" xfId="1" applyNumberFormat="1" applyFont="1" applyFill="1" applyBorder="1" applyAlignment="1" applyProtection="1">
      <alignment horizontal="center" vertical="center" wrapText="1"/>
      <protection locked="0"/>
    </xf>
    <xf numFmtId="49" fontId="9" fillId="22" borderId="111" xfId="1" applyNumberFormat="1" applyFont="1" applyFill="1" applyBorder="1" applyAlignment="1" applyProtection="1">
      <alignment horizontal="center" vertical="center" wrapText="1"/>
      <protection locked="0"/>
    </xf>
    <xf numFmtId="49" fontId="10" fillId="22" borderId="106" xfId="1" applyNumberFormat="1" applyFont="1" applyFill="1" applyBorder="1" applyAlignment="1" applyProtection="1">
      <alignment horizontal="center" vertical="center" wrapText="1"/>
      <protection locked="0"/>
    </xf>
    <xf numFmtId="4" fontId="123" fillId="22" borderId="15" xfId="1" applyNumberFormat="1" applyFont="1" applyFill="1" applyBorder="1" applyAlignment="1" applyProtection="1">
      <alignment horizontal="right" vertical="center" wrapText="1"/>
      <protection locked="0"/>
    </xf>
    <xf numFmtId="49" fontId="9" fillId="22" borderId="106" xfId="1" applyNumberFormat="1" applyFont="1" applyFill="1" applyBorder="1" applyAlignment="1" applyProtection="1">
      <alignment horizontal="center" vertical="center" wrapText="1"/>
      <protection locked="0"/>
    </xf>
    <xf numFmtId="49" fontId="10" fillId="22" borderId="18" xfId="1" applyNumberFormat="1" applyFont="1" applyFill="1" applyBorder="1" applyAlignment="1" applyProtection="1">
      <alignment horizontal="center" vertical="center" wrapText="1"/>
      <protection locked="0"/>
    </xf>
    <xf numFmtId="4" fontId="123" fillId="22" borderId="18" xfId="1" applyNumberFormat="1" applyFont="1" applyFill="1" applyBorder="1" applyAlignment="1" applyProtection="1">
      <alignment horizontal="right" vertical="center" wrapText="1"/>
      <protection locked="0"/>
    </xf>
    <xf numFmtId="49" fontId="123" fillId="22" borderId="18" xfId="1" quotePrefix="1" applyNumberFormat="1" applyFont="1" applyFill="1" applyBorder="1" applyAlignment="1" applyProtection="1">
      <alignment horizontal="center" vertical="center" wrapText="1"/>
      <protection locked="0"/>
    </xf>
    <xf numFmtId="49" fontId="123" fillId="22" borderId="18" xfId="1" applyNumberFormat="1" applyFont="1" applyFill="1" applyBorder="1" applyAlignment="1" applyProtection="1">
      <alignment horizontal="left" vertical="center" wrapText="1"/>
      <protection locked="0"/>
    </xf>
    <xf numFmtId="49" fontId="10" fillId="2" borderId="111" xfId="1" quotePrefix="1" applyNumberFormat="1" applyFont="1" applyFill="1" applyBorder="1" applyAlignment="1" applyProtection="1">
      <alignment horizontal="center" vertical="center" wrapText="1"/>
      <protection locked="0"/>
    </xf>
    <xf numFmtId="49" fontId="10" fillId="2" borderId="14" xfId="1" quotePrefix="1" applyNumberFormat="1" applyFont="1" applyFill="1" applyBorder="1" applyAlignment="1" applyProtection="1">
      <alignment horizontal="center" vertical="center" wrapText="1"/>
      <protection locked="0"/>
    </xf>
    <xf numFmtId="169" fontId="50" fillId="0" borderId="18" xfId="23" applyNumberFormat="1" applyFont="1" applyBorder="1" applyAlignment="1">
      <alignment vertical="center"/>
    </xf>
    <xf numFmtId="4" fontId="96" fillId="0" borderId="15" xfId="23" applyNumberFormat="1" applyFont="1" applyBorder="1" applyAlignment="1">
      <alignment vertical="top"/>
    </xf>
    <xf numFmtId="4" fontId="96" fillId="0" borderId="20" xfId="37" applyNumberFormat="1" applyFont="1" applyBorder="1" applyAlignment="1">
      <alignment vertical="center"/>
    </xf>
    <xf numFmtId="0" fontId="96" fillId="0" borderId="20" xfId="37" applyFont="1" applyBorder="1" applyAlignment="1">
      <alignment horizontal="center" vertical="center"/>
    </xf>
    <xf numFmtId="4" fontId="96" fillId="0" borderId="20" xfId="37" applyNumberFormat="1" applyFont="1" applyBorder="1" applyAlignment="1">
      <alignment horizontal="center" vertical="center"/>
    </xf>
    <xf numFmtId="4" fontId="96" fillId="0" borderId="20" xfId="37" applyNumberFormat="1" applyFont="1" applyBorder="1" applyAlignment="1">
      <alignment horizontal="center" vertical="top"/>
    </xf>
    <xf numFmtId="169" fontId="96" fillId="0" borderId="20" xfId="23" applyNumberFormat="1" applyFont="1" applyBorder="1" applyAlignment="1">
      <alignment vertical="center"/>
    </xf>
    <xf numFmtId="169" fontId="96" fillId="0" borderId="15" xfId="23" applyNumberFormat="1" applyFont="1" applyBorder="1" applyAlignment="1">
      <alignment vertical="center"/>
    </xf>
    <xf numFmtId="4" fontId="96" fillId="0" borderId="15" xfId="37" applyNumberFormat="1" applyFont="1" applyBorder="1" applyAlignment="1">
      <alignment vertical="center"/>
    </xf>
    <xf numFmtId="168" fontId="84" fillId="16" borderId="44" xfId="23" applyNumberFormat="1" applyFont="1" applyFill="1" applyBorder="1" applyAlignment="1" applyProtection="1">
      <alignment horizontal="right" vertical="center" wrapText="1"/>
      <protection locked="0"/>
    </xf>
    <xf numFmtId="4" fontId="50" fillId="0" borderId="18" xfId="23" applyNumberFormat="1" applyFont="1" applyBorder="1" applyAlignment="1">
      <alignment vertical="center" wrapText="1"/>
    </xf>
    <xf numFmtId="168" fontId="84" fillId="19" borderId="34" xfId="23" applyNumberFormat="1" applyFont="1" applyFill="1" applyBorder="1" applyAlignment="1" applyProtection="1">
      <alignment horizontal="right" vertical="center" wrapText="1"/>
      <protection locked="0"/>
    </xf>
    <xf numFmtId="169" fontId="50" fillId="0" borderId="31" xfId="23" applyNumberFormat="1" applyFont="1" applyBorder="1" applyAlignment="1">
      <alignment vertical="center"/>
    </xf>
    <xf numFmtId="168" fontId="81" fillId="16" borderId="31" xfId="23" applyNumberFormat="1" applyFont="1" applyFill="1" applyBorder="1" applyAlignment="1" applyProtection="1">
      <alignment horizontal="right" vertical="center" wrapText="1"/>
      <protection locked="0"/>
    </xf>
    <xf numFmtId="4" fontId="84" fillId="16" borderId="34" xfId="23" applyNumberFormat="1" applyFont="1" applyFill="1" applyBorder="1" applyAlignment="1" applyProtection="1">
      <alignment horizontal="right" vertical="center" wrapText="1"/>
      <protection locked="0"/>
    </xf>
    <xf numFmtId="168" fontId="84" fillId="21" borderId="34" xfId="23" applyNumberFormat="1" applyFont="1" applyFill="1" applyBorder="1" applyAlignment="1" applyProtection="1">
      <alignment horizontal="right" vertical="center" wrapText="1"/>
      <protection locked="0"/>
    </xf>
    <xf numFmtId="168" fontId="84" fillId="4" borderId="34" xfId="23" applyNumberFormat="1" applyFont="1" applyFill="1" applyBorder="1" applyAlignment="1" applyProtection="1">
      <alignment horizontal="right" vertical="center" wrapText="1"/>
      <protection locked="0"/>
    </xf>
    <xf numFmtId="168" fontId="39" fillId="16" borderId="92" xfId="23" applyNumberFormat="1" applyFont="1" applyFill="1" applyBorder="1" applyAlignment="1" applyProtection="1">
      <alignment horizontal="right" vertical="center" wrapText="1"/>
      <protection locked="0"/>
    </xf>
    <xf numFmtId="0" fontId="50" fillId="0" borderId="29" xfId="23" applyFont="1" applyBorder="1"/>
    <xf numFmtId="0" fontId="53" fillId="0" borderId="0" xfId="31" applyFont="1" applyAlignment="1">
      <alignment horizontal="left"/>
    </xf>
    <xf numFmtId="49" fontId="7" fillId="2" borderId="140" xfId="21" applyNumberFormat="1" applyFont="1" applyFill="1" applyBorder="1" applyAlignment="1" applyProtection="1">
      <alignment horizontal="center" vertical="center" wrapText="1"/>
      <protection locked="0"/>
    </xf>
    <xf numFmtId="49" fontId="7" fillId="2" borderId="130" xfId="21" applyNumberFormat="1" applyFont="1" applyFill="1" applyBorder="1" applyAlignment="1" applyProtection="1">
      <alignment horizontal="center" vertical="center" wrapText="1"/>
      <protection locked="0"/>
    </xf>
    <xf numFmtId="4" fontId="7" fillId="0" borderId="18" xfId="21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1" applyNumberFormat="1" applyFont="1" applyFill="1" applyBorder="1" applyAlignment="1" applyProtection="1">
      <alignment vertical="top"/>
      <protection locked="0"/>
    </xf>
    <xf numFmtId="0" fontId="7" fillId="0" borderId="0" xfId="21" applyNumberFormat="1" applyFont="1" applyFill="1" applyBorder="1" applyAlignment="1" applyProtection="1">
      <alignment horizontal="left" vertical="top"/>
      <protection locked="0"/>
    </xf>
    <xf numFmtId="0" fontId="58" fillId="0" borderId="29" xfId="35" applyFont="1" applyBorder="1" applyAlignment="1">
      <alignment horizontal="center" vertical="top" wrapText="1"/>
    </xf>
    <xf numFmtId="0" fontId="58" fillId="0" borderId="57" xfId="35" applyFont="1" applyBorder="1" applyAlignment="1">
      <alignment horizontal="center" vertical="top" wrapText="1"/>
    </xf>
    <xf numFmtId="0" fontId="58" fillId="0" borderId="15" xfId="35" applyFont="1" applyBorder="1" applyAlignment="1">
      <alignment horizontal="center" vertical="top" wrapText="1"/>
    </xf>
    <xf numFmtId="4" fontId="123" fillId="2" borderId="130" xfId="21" applyNumberFormat="1" applyFont="1" applyFill="1" applyBorder="1" applyAlignment="1" applyProtection="1">
      <alignment horizontal="right" vertical="center" wrapText="1"/>
      <protection locked="0"/>
    </xf>
    <xf numFmtId="4" fontId="123" fillId="0" borderId="18" xfId="21" applyNumberFormat="1" applyFont="1" applyFill="1" applyBorder="1" applyAlignment="1" applyProtection="1">
      <alignment horizontal="right" vertical="center"/>
      <protection locked="0"/>
    </xf>
    <xf numFmtId="4" fontId="123" fillId="2" borderId="140" xfId="21" applyNumberFormat="1" applyFont="1" applyFill="1" applyBorder="1" applyAlignment="1" applyProtection="1">
      <alignment horizontal="right" vertical="center" wrapText="1"/>
      <protection locked="0"/>
    </xf>
    <xf numFmtId="49" fontId="21" fillId="2" borderId="111" xfId="21" applyNumberFormat="1" applyFont="1" applyFill="1" applyBorder="1" applyAlignment="1" applyProtection="1">
      <alignment horizontal="center" vertical="center" wrapText="1"/>
      <protection locked="0"/>
    </xf>
    <xf numFmtId="0" fontId="124" fillId="0" borderId="60" xfId="21" applyNumberFormat="1" applyFont="1" applyFill="1" applyBorder="1" applyAlignment="1" applyProtection="1">
      <alignment horizontal="center" vertical="center" wrapText="1"/>
      <protection locked="0"/>
    </xf>
    <xf numFmtId="10" fontId="123" fillId="0" borderId="60" xfId="21" applyNumberFormat="1" applyFont="1" applyFill="1" applyBorder="1" applyAlignment="1" applyProtection="1">
      <alignment horizontal="right" vertical="center"/>
      <protection locked="0"/>
    </xf>
    <xf numFmtId="49" fontId="7" fillId="2" borderId="156" xfId="21" applyNumberFormat="1" applyFont="1" applyFill="1" applyBorder="1" applyAlignment="1" applyProtection="1">
      <alignment horizontal="center" vertical="center" wrapText="1"/>
      <protection locked="0"/>
    </xf>
    <xf numFmtId="4" fontId="7" fillId="0" borderId="157" xfId="21" applyNumberFormat="1" applyFont="1" applyFill="1" applyBorder="1" applyAlignment="1" applyProtection="1">
      <alignment horizontal="center" vertical="center" wrapText="1"/>
      <protection locked="0"/>
    </xf>
    <xf numFmtId="4" fontId="123" fillId="2" borderId="156" xfId="21" applyNumberFormat="1" applyFont="1" applyFill="1" applyBorder="1" applyAlignment="1" applyProtection="1">
      <alignment horizontal="right" vertical="center" wrapText="1"/>
      <protection locked="0"/>
    </xf>
    <xf numFmtId="4" fontId="123" fillId="0" borderId="157" xfId="21" applyNumberFormat="1" applyFont="1" applyFill="1" applyBorder="1" applyAlignment="1" applyProtection="1">
      <alignment horizontal="right" vertical="center"/>
      <protection locked="0"/>
    </xf>
    <xf numFmtId="0" fontId="6" fillId="0" borderId="0" xfId="21" applyNumberFormat="1" applyFont="1" applyFill="1" applyBorder="1" applyAlignment="1" applyProtection="1">
      <alignment horizontal="left"/>
      <protection locked="0"/>
    </xf>
    <xf numFmtId="0" fontId="128" fillId="0" borderId="0" xfId="21" applyNumberFormat="1" applyFont="1" applyFill="1" applyBorder="1" applyAlignment="1" applyProtection="1">
      <alignment horizontal="left"/>
      <protection locked="0"/>
    </xf>
    <xf numFmtId="0" fontId="18" fillId="0" borderId="0" xfId="21" applyNumberFormat="1" applyFont="1" applyFill="1" applyBorder="1" applyAlignment="1" applyProtection="1">
      <alignment horizontal="right"/>
      <protection locked="0"/>
    </xf>
    <xf numFmtId="0" fontId="128" fillId="0" borderId="0" xfId="21" applyNumberFormat="1" applyFont="1" applyFill="1" applyBorder="1" applyAlignment="1" applyProtection="1">
      <alignment horizontal="left" vertical="top" wrapText="1"/>
      <protection locked="0"/>
    </xf>
    <xf numFmtId="0" fontId="18" fillId="0" borderId="0" xfId="21" applyNumberFormat="1" applyFont="1" applyFill="1" applyBorder="1" applyAlignment="1" applyProtection="1">
      <alignment horizontal="left" vertical="top" wrapText="1"/>
      <protection locked="0"/>
    </xf>
    <xf numFmtId="4" fontId="113" fillId="0" borderId="18" xfId="21" applyNumberFormat="1" applyFont="1" applyFill="1" applyBorder="1" applyAlignment="1" applyProtection="1">
      <alignment horizontal="right" vertical="top" wrapText="1"/>
      <protection locked="0"/>
    </xf>
    <xf numFmtId="4" fontId="82" fillId="0" borderId="0" xfId="21" applyNumberFormat="1" applyFont="1" applyFill="1" applyBorder="1" applyAlignment="1" applyProtection="1">
      <alignment horizontal="left"/>
      <protection locked="0"/>
    </xf>
    <xf numFmtId="0" fontId="130" fillId="0" borderId="18" xfId="21" applyNumberFormat="1" applyFont="1" applyFill="1" applyBorder="1" applyAlignment="1" applyProtection="1">
      <alignment horizontal="left" vertical="top"/>
      <protection locked="0"/>
    </xf>
    <xf numFmtId="4" fontId="3" fillId="0" borderId="18" xfId="21" applyNumberFormat="1" applyFont="1" applyFill="1" applyBorder="1" applyAlignment="1" applyProtection="1">
      <alignment horizontal="right" vertical="top"/>
      <protection locked="0"/>
    </xf>
    <xf numFmtId="4" fontId="113" fillId="0" borderId="18" xfId="21" applyNumberFormat="1" applyFont="1" applyFill="1" applyBorder="1" applyAlignment="1" applyProtection="1">
      <alignment horizontal="right" vertical="top"/>
      <protection locked="0"/>
    </xf>
    <xf numFmtId="0" fontId="123" fillId="0" borderId="18" xfId="21" applyNumberFormat="1" applyFont="1" applyFill="1" applyBorder="1" applyAlignment="1" applyProtection="1">
      <alignment horizontal="left" vertical="top"/>
      <protection locked="0"/>
    </xf>
    <xf numFmtId="4" fontId="123" fillId="0" borderId="18" xfId="21" applyNumberFormat="1" applyFont="1" applyFill="1" applyBorder="1" applyAlignment="1" applyProtection="1">
      <alignment horizontal="right" vertical="top"/>
      <protection locked="0"/>
    </xf>
    <xf numFmtId="4" fontId="3" fillId="0" borderId="42" xfId="21" applyNumberFormat="1" applyFont="1" applyFill="1" applyBorder="1" applyAlignment="1" applyProtection="1">
      <alignment horizontal="right" vertical="top"/>
      <protection locked="0"/>
    </xf>
    <xf numFmtId="4" fontId="123" fillId="0" borderId="42" xfId="21" applyNumberFormat="1" applyFont="1" applyFill="1" applyBorder="1" applyAlignment="1" applyProtection="1">
      <alignment horizontal="right" vertical="top"/>
      <protection locked="0"/>
    </xf>
    <xf numFmtId="4" fontId="3" fillId="0" borderId="97" xfId="21" applyNumberFormat="1" applyFont="1" applyFill="1" applyBorder="1" applyAlignment="1" applyProtection="1">
      <alignment horizontal="right" vertical="top"/>
      <protection locked="0"/>
    </xf>
    <xf numFmtId="0" fontId="113" fillId="0" borderId="97" xfId="21" applyNumberFormat="1" applyFont="1" applyFill="1" applyBorder="1" applyAlignment="1" applyProtection="1">
      <alignment horizontal="left" vertical="top"/>
      <protection locked="0"/>
    </xf>
    <xf numFmtId="4" fontId="123" fillId="0" borderId="97" xfId="21" applyNumberFormat="1" applyFont="1" applyFill="1" applyBorder="1" applyAlignment="1" applyProtection="1">
      <alignment horizontal="right" vertical="top"/>
      <protection locked="0"/>
    </xf>
    <xf numFmtId="4" fontId="113" fillId="0" borderId="42" xfId="21" applyNumberFormat="1" applyFont="1" applyFill="1" applyBorder="1" applyAlignment="1" applyProtection="1">
      <alignment horizontal="right" vertical="top"/>
      <protection locked="0"/>
    </xf>
    <xf numFmtId="4" fontId="113" fillId="0" borderId="97" xfId="21" applyNumberFormat="1" applyFont="1" applyFill="1" applyBorder="1" applyAlignment="1" applyProtection="1">
      <alignment horizontal="right" vertical="top"/>
      <protection locked="0"/>
    </xf>
    <xf numFmtId="0" fontId="113" fillId="0" borderId="24" xfId="21" applyNumberFormat="1" applyFont="1" applyFill="1" applyBorder="1" applyAlignment="1" applyProtection="1">
      <alignment horizontal="left" vertical="top"/>
      <protection locked="0"/>
    </xf>
    <xf numFmtId="10" fontId="3" fillId="0" borderId="24" xfId="21" applyNumberFormat="1" applyFont="1" applyFill="1" applyBorder="1" applyAlignment="1" applyProtection="1">
      <alignment horizontal="right" vertical="top"/>
      <protection locked="0"/>
    </xf>
    <xf numFmtId="0" fontId="113" fillId="0" borderId="24" xfId="21" applyNumberFormat="1" applyFont="1" applyFill="1" applyBorder="1" applyAlignment="1" applyProtection="1">
      <alignment horizontal="right" vertical="top"/>
      <protection locked="0"/>
    </xf>
    <xf numFmtId="0" fontId="113" fillId="0" borderId="18" xfId="21" applyNumberFormat="1" applyFont="1" applyFill="1" applyBorder="1" applyAlignment="1" applyProtection="1">
      <alignment horizontal="left" vertical="top" wrapText="1"/>
      <protection locked="0"/>
    </xf>
    <xf numFmtId="4" fontId="113" fillId="0" borderId="42" xfId="21" applyNumberFormat="1" applyFont="1" applyFill="1" applyBorder="1" applyAlignment="1" applyProtection="1">
      <alignment horizontal="right" vertical="top" wrapText="1"/>
      <protection locked="0"/>
    </xf>
    <xf numFmtId="4" fontId="113" fillId="0" borderId="97" xfId="21" applyNumberFormat="1" applyFont="1" applyFill="1" applyBorder="1" applyAlignment="1" applyProtection="1">
      <alignment horizontal="right" vertical="top" wrapText="1"/>
      <protection locked="0"/>
    </xf>
    <xf numFmtId="0" fontId="123" fillId="0" borderId="57" xfId="21" applyNumberFormat="1" applyFont="1" applyFill="1" applyBorder="1" applyAlignment="1" applyProtection="1">
      <alignment horizontal="right" vertical="top"/>
      <protection locked="0"/>
    </xf>
    <xf numFmtId="0" fontId="125" fillId="0" borderId="40" xfId="21" applyNumberFormat="1" applyFont="1" applyFill="1" applyBorder="1" applyAlignment="1" applyProtection="1">
      <alignment horizontal="left" vertical="top"/>
      <protection locked="0"/>
    </xf>
    <xf numFmtId="0" fontId="125" fillId="0" borderId="57" xfId="21" applyNumberFormat="1" applyFont="1" applyFill="1" applyBorder="1" applyAlignment="1" applyProtection="1">
      <alignment horizontal="left" vertical="top"/>
      <protection locked="0"/>
    </xf>
    <xf numFmtId="0" fontId="113" fillId="0" borderId="133" xfId="21" applyNumberFormat="1" applyFont="1" applyFill="1" applyBorder="1" applyAlignment="1" applyProtection="1">
      <alignment horizontal="right" vertical="top" wrapText="1"/>
      <protection locked="0"/>
    </xf>
    <xf numFmtId="0" fontId="113" fillId="0" borderId="119" xfId="21" applyNumberFormat="1" applyFont="1" applyFill="1" applyBorder="1" applyAlignment="1" applyProtection="1">
      <alignment horizontal="right" vertical="top" wrapText="1"/>
      <protection locked="0"/>
    </xf>
    <xf numFmtId="0" fontId="3" fillId="0" borderId="57" xfId="21" applyNumberFormat="1" applyFont="1" applyFill="1" applyBorder="1" applyAlignment="1" applyProtection="1">
      <alignment horizontal="right" vertical="top" wrapText="1"/>
      <protection locked="0"/>
    </xf>
    <xf numFmtId="0" fontId="127" fillId="0" borderId="42" xfId="21" applyNumberFormat="1" applyFont="1" applyFill="1" applyBorder="1" applyAlignment="1" applyProtection="1">
      <alignment horizontal="left" vertical="top"/>
      <protection locked="0"/>
    </xf>
    <xf numFmtId="0" fontId="113" fillId="0" borderId="0" xfId="1" applyNumberFormat="1" applyFont="1" applyFill="1" applyBorder="1" applyAlignment="1" applyProtection="1">
      <alignment horizontal="left"/>
      <protection locked="0"/>
    </xf>
    <xf numFmtId="0" fontId="113" fillId="0" borderId="0" xfId="1" applyNumberFormat="1" applyFont="1" applyFill="1" applyBorder="1" applyAlignment="1" applyProtection="1">
      <alignment horizontal="right"/>
      <protection locked="0"/>
    </xf>
    <xf numFmtId="4" fontId="113" fillId="0" borderId="0" xfId="1" applyNumberFormat="1" applyFont="1" applyFill="1" applyBorder="1" applyAlignment="1" applyProtection="1">
      <alignment horizontal="left"/>
      <protection locked="0"/>
    </xf>
    <xf numFmtId="0" fontId="113" fillId="0" borderId="0" xfId="1" applyNumberFormat="1" applyFont="1" applyFill="1" applyBorder="1" applyAlignment="1" applyProtection="1">
      <alignment vertical="top" wrapText="1"/>
      <protection locked="0"/>
    </xf>
    <xf numFmtId="0" fontId="113" fillId="0" borderId="0" xfId="1" applyNumberFormat="1" applyFont="1" applyFill="1" applyBorder="1" applyAlignment="1" applyProtection="1">
      <alignment horizontal="left" vertical="top" wrapText="1"/>
      <protection locked="0"/>
    </xf>
    <xf numFmtId="0" fontId="113" fillId="0" borderId="0" xfId="1" applyNumberFormat="1" applyFont="1" applyFill="1" applyBorder="1" applyAlignment="1" applyProtection="1">
      <alignment horizontal="right" vertical="top"/>
      <protection locked="0"/>
    </xf>
    <xf numFmtId="0" fontId="6" fillId="0" borderId="0" xfId="1" applyNumberFormat="1" applyFont="1" applyFill="1" applyBorder="1" applyAlignment="1" applyProtection="1">
      <alignment horizontal="left"/>
      <protection locked="0"/>
    </xf>
    <xf numFmtId="0" fontId="113" fillId="0" borderId="18" xfId="1" applyNumberFormat="1" applyFont="1" applyFill="1" applyBorder="1" applyAlignment="1" applyProtection="1">
      <alignment vertical="top" wrapText="1"/>
      <protection locked="0"/>
    </xf>
    <xf numFmtId="0" fontId="113" fillId="0" borderId="57" xfId="1" applyNumberFormat="1" applyFont="1" applyFill="1" applyBorder="1" applyAlignment="1" applyProtection="1">
      <alignment horizontal="right" vertical="top"/>
      <protection locked="0"/>
    </xf>
    <xf numFmtId="0" fontId="131" fillId="0" borderId="57" xfId="1" applyNumberFormat="1" applyFont="1" applyFill="1" applyBorder="1" applyAlignment="1" applyProtection="1">
      <alignment horizontal="left" vertical="top"/>
      <protection locked="0"/>
    </xf>
    <xf numFmtId="0" fontId="6" fillId="0" borderId="57" xfId="1" applyNumberFormat="1" applyFont="1" applyFill="1" applyBorder="1" applyAlignment="1" applyProtection="1">
      <alignment horizontal="left"/>
      <protection locked="0"/>
    </xf>
    <xf numFmtId="4" fontId="113" fillId="0" borderId="18" xfId="1" applyNumberFormat="1" applyFont="1" applyFill="1" applyBorder="1" applyAlignment="1" applyProtection="1">
      <alignment horizontal="right" vertical="top"/>
      <protection locked="0"/>
    </xf>
    <xf numFmtId="4" fontId="82" fillId="9" borderId="0" xfId="1" applyNumberFormat="1" applyFont="1" applyFill="1" applyBorder="1" applyAlignment="1" applyProtection="1">
      <alignment horizontal="left"/>
      <protection locked="0"/>
    </xf>
    <xf numFmtId="0" fontId="127" fillId="0" borderId="42" xfId="1" applyNumberFormat="1" applyFont="1" applyFill="1" applyBorder="1" applyAlignment="1" applyProtection="1">
      <alignment vertical="top" wrapText="1"/>
      <protection locked="0"/>
    </xf>
    <xf numFmtId="4" fontId="113" fillId="0" borderId="24" xfId="1" applyNumberFormat="1" applyFont="1" applyFill="1" applyBorder="1" applyAlignment="1" applyProtection="1">
      <alignment horizontal="right"/>
      <protection locked="0"/>
    </xf>
    <xf numFmtId="0" fontId="129" fillId="0" borderId="57" xfId="1" applyNumberFormat="1" applyFont="1" applyFill="1" applyBorder="1" applyAlignment="1" applyProtection="1">
      <alignment horizontal="right" vertical="top"/>
      <protection locked="0"/>
    </xf>
    <xf numFmtId="0" fontId="129" fillId="0" borderId="18" xfId="1" applyNumberFormat="1" applyFont="1" applyFill="1" applyBorder="1" applyAlignment="1" applyProtection="1">
      <alignment vertical="top" wrapText="1"/>
      <protection locked="0"/>
    </xf>
    <xf numFmtId="4" fontId="129" fillId="0" borderId="18" xfId="1" applyNumberFormat="1" applyFont="1" applyFill="1" applyBorder="1" applyAlignment="1" applyProtection="1">
      <alignment horizontal="right"/>
      <protection locked="0"/>
    </xf>
    <xf numFmtId="0" fontId="129" fillId="0" borderId="119" xfId="1" applyNumberFormat="1" applyFont="1" applyFill="1" applyBorder="1" applyAlignment="1" applyProtection="1">
      <alignment horizontal="right" vertical="top"/>
      <protection locked="0"/>
    </xf>
    <xf numFmtId="0" fontId="129" fillId="0" borderId="42" xfId="1" applyNumberFormat="1" applyFont="1" applyFill="1" applyBorder="1" applyAlignment="1" applyProtection="1">
      <alignment vertical="top" wrapText="1"/>
      <protection locked="0"/>
    </xf>
    <xf numFmtId="4" fontId="129" fillId="0" borderId="24" xfId="1" applyNumberFormat="1" applyFont="1" applyFill="1" applyBorder="1" applyAlignment="1" applyProtection="1">
      <alignment horizontal="left"/>
      <protection locked="0"/>
    </xf>
    <xf numFmtId="4" fontId="129" fillId="0" borderId="18" xfId="1" applyNumberFormat="1" applyFont="1" applyFill="1" applyBorder="1" applyAlignment="1" applyProtection="1">
      <alignment horizontal="right" vertical="top"/>
      <protection locked="0"/>
    </xf>
    <xf numFmtId="10" fontId="129" fillId="0" borderId="24" xfId="1" applyNumberFormat="1" applyFont="1" applyFill="1" applyBorder="1" applyAlignment="1" applyProtection="1">
      <alignment horizontal="left"/>
      <protection locked="0"/>
    </xf>
    <xf numFmtId="10" fontId="129" fillId="0" borderId="24" xfId="1" applyNumberFormat="1" applyFont="1" applyFill="1" applyBorder="1" applyAlignment="1" applyProtection="1">
      <alignment horizontal="right"/>
      <protection locked="0"/>
    </xf>
    <xf numFmtId="4" fontId="129" fillId="0" borderId="18" xfId="1" applyNumberFormat="1" applyFont="1" applyFill="1" applyBorder="1" applyAlignment="1" applyProtection="1">
      <alignment horizontal="left" vertical="top"/>
      <protection locked="0"/>
    </xf>
    <xf numFmtId="4" fontId="129" fillId="0" borderId="42" xfId="1" applyNumberFormat="1" applyFont="1" applyFill="1" applyBorder="1" applyAlignment="1" applyProtection="1">
      <alignment horizontal="right"/>
      <protection locked="0"/>
    </xf>
    <xf numFmtId="10" fontId="129" fillId="0" borderId="60" xfId="1" applyNumberFormat="1" applyFont="1" applyFill="1" applyBorder="1" applyAlignment="1" applyProtection="1">
      <alignment horizontal="right"/>
      <protection locked="0"/>
    </xf>
    <xf numFmtId="4" fontId="129" fillId="0" borderId="97" xfId="1" applyNumberFormat="1" applyFont="1" applyFill="1" applyBorder="1" applyAlignment="1" applyProtection="1">
      <alignment horizontal="right"/>
      <protection locked="0"/>
    </xf>
    <xf numFmtId="4" fontId="113" fillId="0" borderId="42" xfId="1" applyNumberFormat="1" applyFont="1" applyFill="1" applyBorder="1" applyAlignment="1" applyProtection="1">
      <alignment horizontal="right" vertical="top"/>
      <protection locked="0"/>
    </xf>
    <xf numFmtId="10" fontId="129" fillId="0" borderId="60" xfId="1" applyNumberFormat="1" applyFont="1" applyFill="1" applyBorder="1" applyAlignment="1" applyProtection="1">
      <alignment horizontal="right" vertical="top"/>
      <protection locked="0"/>
    </xf>
    <xf numFmtId="4" fontId="113" fillId="0" borderId="97" xfId="1" applyNumberFormat="1" applyFont="1" applyFill="1" applyBorder="1" applyAlignment="1" applyProtection="1">
      <alignment horizontal="right" vertical="top"/>
      <protection locked="0"/>
    </xf>
    <xf numFmtId="4" fontId="129" fillId="0" borderId="42" xfId="1" applyNumberFormat="1" applyFont="1" applyFill="1" applyBorder="1" applyAlignment="1" applyProtection="1">
      <alignment horizontal="right" vertical="top"/>
      <protection locked="0"/>
    </xf>
    <xf numFmtId="4" fontId="129" fillId="0" borderId="97" xfId="1" applyNumberFormat="1" applyFont="1" applyFill="1" applyBorder="1" applyAlignment="1" applyProtection="1">
      <alignment horizontal="right" vertical="top"/>
      <protection locked="0"/>
    </xf>
    <xf numFmtId="0" fontId="129" fillId="0" borderId="133" xfId="1" applyNumberFormat="1" applyFont="1" applyFill="1" applyBorder="1" applyAlignment="1" applyProtection="1">
      <alignment vertical="top" wrapText="1"/>
      <protection locked="0"/>
    </xf>
    <xf numFmtId="4" fontId="129" fillId="0" borderId="133" xfId="1" applyNumberFormat="1" applyFont="1" applyFill="1" applyBorder="1" applyAlignment="1" applyProtection="1">
      <alignment horizontal="right"/>
      <protection locked="0"/>
    </xf>
    <xf numFmtId="0" fontId="131" fillId="0" borderId="27" xfId="1" applyNumberFormat="1" applyFont="1" applyFill="1" applyBorder="1" applyAlignment="1" applyProtection="1">
      <alignment vertical="top" wrapText="1"/>
      <protection locked="0"/>
    </xf>
    <xf numFmtId="4" fontId="113" fillId="0" borderId="22" xfId="1" applyNumberFormat="1" applyFont="1" applyFill="1" applyBorder="1" applyAlignment="1" applyProtection="1">
      <alignment horizontal="left"/>
      <protection locked="0"/>
    </xf>
    <xf numFmtId="10" fontId="113" fillId="0" borderId="22" xfId="1" applyNumberFormat="1" applyFont="1" applyFill="1" applyBorder="1" applyAlignment="1" applyProtection="1">
      <alignment horizontal="left"/>
      <protection locked="0"/>
    </xf>
    <xf numFmtId="0" fontId="126" fillId="0" borderId="27" xfId="1" applyNumberFormat="1" applyFont="1" applyFill="1" applyBorder="1" applyAlignment="1" applyProtection="1">
      <alignment horizontal="left"/>
      <protection locked="0"/>
    </xf>
    <xf numFmtId="0" fontId="6" fillId="0" borderId="22" xfId="1" applyNumberFormat="1" applyFont="1" applyFill="1" applyBorder="1" applyAlignment="1" applyProtection="1">
      <alignment horizontal="left"/>
      <protection locked="0"/>
    </xf>
    <xf numFmtId="10" fontId="6" fillId="0" borderId="22" xfId="1" applyNumberFormat="1" applyFont="1" applyFill="1" applyBorder="1" applyAlignment="1" applyProtection="1">
      <alignment horizontal="left"/>
      <protection locked="0"/>
    </xf>
    <xf numFmtId="4" fontId="123" fillId="22" borderId="130" xfId="1" applyNumberFormat="1" applyFont="1" applyFill="1" applyBorder="1" applyAlignment="1" applyProtection="1">
      <alignment horizontal="right" vertical="center" wrapText="1"/>
      <protection locked="0"/>
    </xf>
    <xf numFmtId="4" fontId="123" fillId="2" borderId="42" xfId="1" applyNumberFormat="1" applyFont="1" applyFill="1" applyBorder="1" applyAlignment="1" applyProtection="1">
      <alignment horizontal="right" vertical="center" wrapText="1"/>
      <protection locked="0"/>
    </xf>
    <xf numFmtId="4" fontId="123" fillId="22" borderId="42" xfId="1" applyNumberFormat="1" applyFont="1" applyFill="1" applyBorder="1" applyAlignment="1" applyProtection="1">
      <alignment horizontal="right" vertical="center" wrapText="1"/>
      <protection locked="0"/>
    </xf>
    <xf numFmtId="4" fontId="123" fillId="2" borderId="160" xfId="1" applyNumberFormat="1" applyFont="1" applyFill="1" applyBorder="1" applyAlignment="1" applyProtection="1">
      <alignment horizontal="right" vertical="center" wrapText="1"/>
      <protection locked="0"/>
    </xf>
    <xf numFmtId="10" fontId="123" fillId="0" borderId="60" xfId="1" applyNumberFormat="1" applyFont="1" applyFill="1" applyBorder="1" applyAlignment="1" applyProtection="1">
      <alignment horizontal="right" vertical="center"/>
      <protection locked="0"/>
    </xf>
    <xf numFmtId="4" fontId="123" fillId="2" borderId="162" xfId="1" applyNumberFormat="1" applyFont="1" applyFill="1" applyBorder="1" applyAlignment="1" applyProtection="1">
      <alignment horizontal="right" vertical="center" wrapText="1"/>
      <protection locked="0"/>
    </xf>
    <xf numFmtId="4" fontId="123" fillId="0" borderId="97" xfId="1" applyNumberFormat="1" applyFont="1" applyFill="1" applyBorder="1" applyAlignment="1" applyProtection="1">
      <alignment horizontal="right" vertical="center"/>
      <protection locked="0"/>
    </xf>
    <xf numFmtId="4" fontId="123" fillId="22" borderId="162" xfId="1" applyNumberFormat="1" applyFont="1" applyFill="1" applyBorder="1" applyAlignment="1" applyProtection="1">
      <alignment horizontal="right" vertical="center" wrapText="1"/>
      <protection locked="0"/>
    </xf>
    <xf numFmtId="4" fontId="123" fillId="2" borderId="163" xfId="1" applyNumberFormat="1" applyFont="1" applyFill="1" applyBorder="1" applyAlignment="1" applyProtection="1">
      <alignment horizontal="right" vertical="center" wrapText="1"/>
      <protection locked="0"/>
    </xf>
    <xf numFmtId="4" fontId="123" fillId="0" borderId="158" xfId="1" applyNumberFormat="1" applyFont="1" applyFill="1" applyBorder="1" applyAlignment="1" applyProtection="1">
      <alignment horizontal="right" vertical="center"/>
      <protection locked="0"/>
    </xf>
    <xf numFmtId="4" fontId="123" fillId="2" borderId="97" xfId="1" applyNumberFormat="1" applyFont="1" applyFill="1" applyBorder="1" applyAlignment="1" applyProtection="1">
      <alignment horizontal="right" vertical="center" wrapText="1"/>
      <protection locked="0"/>
    </xf>
    <xf numFmtId="4" fontId="123" fillId="22" borderId="97" xfId="1" applyNumberFormat="1" applyFont="1" applyFill="1" applyBorder="1" applyAlignment="1" applyProtection="1">
      <alignment horizontal="right" vertical="center" wrapText="1"/>
      <protection locked="0"/>
    </xf>
    <xf numFmtId="4" fontId="123" fillId="2" borderId="161" xfId="1" applyNumberFormat="1" applyFont="1" applyFill="1" applyBorder="1" applyAlignment="1" applyProtection="1">
      <alignment horizontal="right" vertical="center" wrapText="1"/>
      <protection locked="0"/>
    </xf>
    <xf numFmtId="4" fontId="123" fillId="0" borderId="102" xfId="1" applyNumberFormat="1" applyFont="1" applyFill="1" applyBorder="1" applyAlignment="1" applyProtection="1">
      <alignment horizontal="right" vertical="center"/>
      <protection locked="0"/>
    </xf>
    <xf numFmtId="10" fontId="113" fillId="0" borderId="60" xfId="21" applyNumberFormat="1" applyFont="1" applyFill="1" applyBorder="1" applyAlignment="1" applyProtection="1">
      <alignment horizontal="right" vertical="top"/>
      <protection locked="0"/>
    </xf>
    <xf numFmtId="4" fontId="3" fillId="0" borderId="80" xfId="21" applyNumberFormat="1" applyFont="1" applyFill="1" applyBorder="1" applyAlignment="1" applyProtection="1">
      <alignment horizontal="right" vertical="top"/>
      <protection locked="0"/>
    </xf>
    <xf numFmtId="4" fontId="113" fillId="0" borderId="80" xfId="21" applyNumberFormat="1" applyFont="1" applyFill="1" applyBorder="1" applyAlignment="1" applyProtection="1">
      <alignment horizontal="right" vertical="top"/>
      <protection locked="0"/>
    </xf>
    <xf numFmtId="4" fontId="123" fillId="0" borderId="80" xfId="21" applyNumberFormat="1" applyFont="1" applyFill="1" applyBorder="1" applyAlignment="1" applyProtection="1">
      <alignment horizontal="right" vertical="top"/>
      <protection locked="0"/>
    </xf>
    <xf numFmtId="10" fontId="3" fillId="0" borderId="60" xfId="21" applyNumberFormat="1" applyFont="1" applyFill="1" applyBorder="1" applyAlignment="1" applyProtection="1">
      <alignment horizontal="right" vertical="top"/>
      <protection locked="0"/>
    </xf>
    <xf numFmtId="0" fontId="132" fillId="0" borderId="87" xfId="1" applyNumberFormat="1" applyFont="1" applyFill="1" applyBorder="1" applyAlignment="1" applyProtection="1">
      <alignment horizontal="left" vertical="center"/>
      <protection locked="0"/>
    </xf>
    <xf numFmtId="10" fontId="133" fillId="0" borderId="86" xfId="1" applyNumberFormat="1" applyFont="1" applyFill="1" applyBorder="1" applyAlignment="1" applyProtection="1">
      <alignment horizontal="right" vertical="center"/>
      <protection locked="0"/>
    </xf>
    <xf numFmtId="4" fontId="133" fillId="0" borderId="87" xfId="1" applyNumberFormat="1" applyFont="1" applyFill="1" applyBorder="1" applyAlignment="1" applyProtection="1">
      <alignment horizontal="right" vertical="center"/>
      <protection locked="0"/>
    </xf>
    <xf numFmtId="0" fontId="135" fillId="0" borderId="87" xfId="1" applyNumberFormat="1" applyFont="1" applyFill="1" applyBorder="1" applyAlignment="1" applyProtection="1">
      <alignment horizontal="left" vertical="center"/>
      <protection locked="0"/>
    </xf>
    <xf numFmtId="0" fontId="133" fillId="0" borderId="87" xfId="1" applyNumberFormat="1" applyFont="1" applyFill="1" applyBorder="1" applyAlignment="1" applyProtection="1">
      <alignment vertical="center" wrapText="1"/>
      <protection locked="0"/>
    </xf>
    <xf numFmtId="49" fontId="10" fillId="2" borderId="126" xfId="1" applyNumberFormat="1" applyFont="1" applyFill="1" applyBorder="1" applyAlignment="1" applyProtection="1">
      <alignment horizontal="center" vertical="center" wrapText="1"/>
      <protection locked="0"/>
    </xf>
    <xf numFmtId="49" fontId="10" fillId="2" borderId="126" xfId="1" applyNumberFormat="1" applyFont="1" applyFill="1" applyBorder="1" applyAlignment="1" applyProtection="1">
      <alignment horizontal="left" vertical="center" wrapText="1"/>
      <protection locked="0"/>
    </xf>
    <xf numFmtId="4" fontId="123" fillId="2" borderId="126" xfId="1" applyNumberFormat="1" applyFont="1" applyFill="1" applyBorder="1" applyAlignment="1" applyProtection="1">
      <alignment horizontal="right" vertical="center" wrapText="1"/>
      <protection locked="0"/>
    </xf>
    <xf numFmtId="4" fontId="123" fillId="2" borderId="127" xfId="1" applyNumberFormat="1" applyFont="1" applyFill="1" applyBorder="1" applyAlignment="1" applyProtection="1">
      <alignment horizontal="right" vertical="center" wrapText="1"/>
      <protection locked="0"/>
    </xf>
    <xf numFmtId="4" fontId="123" fillId="2" borderId="164" xfId="1" applyNumberFormat="1" applyFont="1" applyFill="1" applyBorder="1" applyAlignment="1" applyProtection="1">
      <alignment horizontal="right" vertical="center" wrapText="1"/>
      <protection locked="0"/>
    </xf>
    <xf numFmtId="0" fontId="123" fillId="0" borderId="119" xfId="21" applyNumberFormat="1" applyFont="1" applyFill="1" applyBorder="1" applyAlignment="1" applyProtection="1">
      <alignment horizontal="left" vertical="top"/>
      <protection locked="0"/>
    </xf>
    <xf numFmtId="4" fontId="3" fillId="0" borderId="119" xfId="21" applyNumberFormat="1" applyFont="1" applyFill="1" applyBorder="1" applyAlignment="1" applyProtection="1">
      <alignment horizontal="right" vertical="top"/>
      <protection locked="0"/>
    </xf>
    <xf numFmtId="4" fontId="3" fillId="0" borderId="27" xfId="21" applyNumberFormat="1" applyFont="1" applyFill="1" applyBorder="1" applyAlignment="1" applyProtection="1">
      <alignment horizontal="right" vertical="top"/>
      <protection locked="0"/>
    </xf>
    <xf numFmtId="4" fontId="3" fillId="0" borderId="79" xfId="21" applyNumberFormat="1" applyFont="1" applyFill="1" applyBorder="1" applyAlignment="1" applyProtection="1">
      <alignment horizontal="right" vertical="top"/>
      <protection locked="0"/>
    </xf>
    <xf numFmtId="4" fontId="3" fillId="0" borderId="102" xfId="21" applyNumberFormat="1" applyFont="1" applyFill="1" applyBorder="1" applyAlignment="1" applyProtection="1">
      <alignment horizontal="right" vertical="top"/>
      <protection locked="0"/>
    </xf>
    <xf numFmtId="10" fontId="3" fillId="0" borderId="32" xfId="21" applyNumberFormat="1" applyFont="1" applyFill="1" applyBorder="1" applyAlignment="1" applyProtection="1">
      <alignment horizontal="right" vertical="top"/>
      <protection locked="0"/>
    </xf>
    <xf numFmtId="0" fontId="132" fillId="0" borderId="87" xfId="21" applyNumberFormat="1" applyFont="1" applyFill="1" applyBorder="1" applyAlignment="1" applyProtection="1">
      <alignment horizontal="left" vertical="center"/>
      <protection locked="0"/>
    </xf>
    <xf numFmtId="4" fontId="133" fillId="0" borderId="87" xfId="21" applyNumberFormat="1" applyFont="1" applyFill="1" applyBorder="1" applyAlignment="1" applyProtection="1">
      <alignment horizontal="right" vertical="center"/>
      <protection locked="0"/>
    </xf>
    <xf numFmtId="4" fontId="133" fillId="0" borderId="84" xfId="21" applyNumberFormat="1" applyFont="1" applyFill="1" applyBorder="1" applyAlignment="1" applyProtection="1">
      <alignment horizontal="right" vertical="center"/>
      <protection locked="0"/>
    </xf>
    <xf numFmtId="4" fontId="133" fillId="0" borderId="101" xfId="21" applyNumberFormat="1" applyFont="1" applyFill="1" applyBorder="1" applyAlignment="1" applyProtection="1">
      <alignment horizontal="right" vertical="center"/>
      <protection locked="0"/>
    </xf>
    <xf numFmtId="4" fontId="133" fillId="0" borderId="96" xfId="21" applyNumberFormat="1" applyFont="1" applyFill="1" applyBorder="1" applyAlignment="1" applyProtection="1">
      <alignment horizontal="right" vertical="center"/>
      <protection locked="0"/>
    </xf>
    <xf numFmtId="10" fontId="133" fillId="0" borderId="86" xfId="21" applyNumberFormat="1" applyFont="1" applyFill="1" applyBorder="1" applyAlignment="1" applyProtection="1">
      <alignment horizontal="right" vertical="center"/>
      <protection locked="0"/>
    </xf>
    <xf numFmtId="4" fontId="134" fillId="0" borderId="87" xfId="21" applyNumberFormat="1" applyFont="1" applyFill="1" applyBorder="1" applyAlignment="1" applyProtection="1">
      <alignment horizontal="right" vertical="center"/>
      <protection locked="0"/>
    </xf>
    <xf numFmtId="0" fontId="123" fillId="0" borderId="133" xfId="21" applyNumberFormat="1" applyFont="1" applyFill="1" applyBorder="1" applyAlignment="1" applyProtection="1">
      <alignment horizontal="left" vertical="top" wrapText="1"/>
      <protection locked="0"/>
    </xf>
    <xf numFmtId="4" fontId="3" fillId="0" borderId="133" xfId="21" applyNumberFormat="1" applyFont="1" applyFill="1" applyBorder="1" applyAlignment="1" applyProtection="1">
      <alignment horizontal="right" vertical="top"/>
      <protection locked="0"/>
    </xf>
    <xf numFmtId="4" fontId="3" fillId="0" borderId="148" xfId="21" applyNumberFormat="1" applyFont="1" applyFill="1" applyBorder="1" applyAlignment="1" applyProtection="1">
      <alignment horizontal="right" vertical="top"/>
      <protection locked="0"/>
    </xf>
    <xf numFmtId="4" fontId="3" fillId="0" borderId="165" xfId="21" applyNumberFormat="1" applyFont="1" applyFill="1" applyBorder="1" applyAlignment="1" applyProtection="1">
      <alignment horizontal="right" vertical="top"/>
      <protection locked="0"/>
    </xf>
    <xf numFmtId="4" fontId="3" fillId="0" borderId="158" xfId="21" applyNumberFormat="1" applyFont="1" applyFill="1" applyBorder="1" applyAlignment="1" applyProtection="1">
      <alignment horizontal="right" vertical="top"/>
      <protection locked="0"/>
    </xf>
    <xf numFmtId="10" fontId="3" fillId="0" borderId="159" xfId="21" applyNumberFormat="1" applyFont="1" applyFill="1" applyBorder="1" applyAlignment="1" applyProtection="1">
      <alignment horizontal="right" vertical="top"/>
      <protection locked="0"/>
    </xf>
    <xf numFmtId="0" fontId="18" fillId="0" borderId="27" xfId="21" applyNumberFormat="1" applyFont="1" applyFill="1" applyBorder="1" applyAlignment="1" applyProtection="1">
      <alignment horizontal="left"/>
      <protection locked="0"/>
    </xf>
    <xf numFmtId="0" fontId="126" fillId="0" borderId="22" xfId="21" applyNumberFormat="1" applyFont="1" applyFill="1" applyBorder="1" applyAlignment="1" applyProtection="1">
      <alignment horizontal="left"/>
      <protection locked="0"/>
    </xf>
    <xf numFmtId="0" fontId="18" fillId="0" borderId="22" xfId="21" applyNumberFormat="1" applyFont="1" applyFill="1" applyBorder="1" applyAlignment="1" applyProtection="1">
      <alignment horizontal="left"/>
      <protection locked="0"/>
    </xf>
    <xf numFmtId="10" fontId="3" fillId="0" borderId="22" xfId="21" applyNumberFormat="1" applyFont="1" applyFill="1" applyBorder="1" applyAlignment="1" applyProtection="1">
      <alignment horizontal="right" vertical="top"/>
      <protection locked="0"/>
    </xf>
    <xf numFmtId="4" fontId="132" fillId="0" borderId="87" xfId="21" applyNumberFormat="1" applyFont="1" applyFill="1" applyBorder="1" applyAlignment="1" applyProtection="1">
      <alignment horizontal="right" vertical="center"/>
      <protection locked="0"/>
    </xf>
    <xf numFmtId="4" fontId="132" fillId="0" borderId="84" xfId="21" applyNumberFormat="1" applyFont="1" applyFill="1" applyBorder="1" applyAlignment="1" applyProtection="1">
      <alignment horizontal="right" vertical="center"/>
      <protection locked="0"/>
    </xf>
    <xf numFmtId="4" fontId="132" fillId="0" borderId="101" xfId="21" applyNumberFormat="1" applyFont="1" applyFill="1" applyBorder="1" applyAlignment="1" applyProtection="1">
      <alignment horizontal="right" vertical="center"/>
      <protection locked="0"/>
    </xf>
    <xf numFmtId="4" fontId="132" fillId="0" borderId="96" xfId="21" applyNumberFormat="1" applyFont="1" applyFill="1" applyBorder="1" applyAlignment="1" applyProtection="1">
      <alignment horizontal="right" vertical="center"/>
      <protection locked="0"/>
    </xf>
    <xf numFmtId="49" fontId="21" fillId="2" borderId="143" xfId="21" applyNumberFormat="1" applyFont="1" applyFill="1" applyBorder="1" applyAlignment="1" applyProtection="1">
      <alignment horizontal="center" vertical="center" wrapText="1"/>
      <protection locked="0"/>
    </xf>
    <xf numFmtId="49" fontId="21" fillId="2" borderId="143" xfId="21" applyNumberFormat="1" applyFont="1" applyFill="1" applyBorder="1" applyAlignment="1" applyProtection="1">
      <alignment horizontal="left" vertical="center" wrapText="1"/>
      <protection locked="0"/>
    </xf>
    <xf numFmtId="4" fontId="123" fillId="2" borderId="143" xfId="21" applyNumberFormat="1" applyFont="1" applyFill="1" applyBorder="1" applyAlignment="1" applyProtection="1">
      <alignment horizontal="right" vertical="center" wrapText="1"/>
      <protection locked="0"/>
    </xf>
    <xf numFmtId="4" fontId="123" fillId="2" borderId="131" xfId="21" applyNumberFormat="1" applyFont="1" applyFill="1" applyBorder="1" applyAlignment="1" applyProtection="1">
      <alignment horizontal="right" vertical="center" wrapText="1"/>
      <protection locked="0"/>
    </xf>
    <xf numFmtId="4" fontId="123" fillId="2" borderId="166" xfId="21" applyNumberFormat="1" applyFont="1" applyFill="1" applyBorder="1" applyAlignment="1" applyProtection="1">
      <alignment horizontal="right" vertical="center" wrapText="1"/>
      <protection locked="0"/>
    </xf>
    <xf numFmtId="4" fontId="123" fillId="0" borderId="167" xfId="21" applyNumberFormat="1" applyFont="1" applyFill="1" applyBorder="1" applyAlignment="1" applyProtection="1">
      <alignment horizontal="right" vertical="center"/>
      <protection locked="0"/>
    </xf>
    <xf numFmtId="10" fontId="123" fillId="0" borderId="159" xfId="21" applyNumberFormat="1" applyFont="1" applyFill="1" applyBorder="1" applyAlignment="1" applyProtection="1">
      <alignment horizontal="right" vertical="center"/>
      <protection locked="0"/>
    </xf>
    <xf numFmtId="4" fontId="123" fillId="0" borderId="133" xfId="21" applyNumberFormat="1" applyFont="1" applyFill="1" applyBorder="1" applyAlignment="1" applyProtection="1">
      <alignment horizontal="right" vertical="center"/>
      <protection locked="0"/>
    </xf>
    <xf numFmtId="4" fontId="122" fillId="2" borderId="168" xfId="21" applyNumberFormat="1" applyFont="1" applyFill="1" applyBorder="1" applyAlignment="1" applyProtection="1">
      <alignment horizontal="right" vertical="center" wrapText="1"/>
      <protection locked="0"/>
    </xf>
    <xf numFmtId="4" fontId="122" fillId="2" borderId="53" xfId="21" applyNumberFormat="1" applyFont="1" applyFill="1" applyBorder="1" applyAlignment="1" applyProtection="1">
      <alignment horizontal="right" vertical="center" wrapText="1"/>
      <protection locked="0"/>
    </xf>
    <xf numFmtId="4" fontId="122" fillId="2" borderId="169" xfId="21" applyNumberFormat="1" applyFont="1" applyFill="1" applyBorder="1" applyAlignment="1" applyProtection="1">
      <alignment horizontal="right" vertical="center" wrapText="1"/>
      <protection locked="0"/>
    </xf>
    <xf numFmtId="10" fontId="122" fillId="0" borderId="170" xfId="21" applyNumberFormat="1" applyFont="1" applyFill="1" applyBorder="1" applyAlignment="1" applyProtection="1">
      <alignment horizontal="right" vertical="center"/>
      <protection locked="0"/>
    </xf>
    <xf numFmtId="0" fontId="58" fillId="0" borderId="40" xfId="35" applyFont="1" applyBorder="1" applyAlignment="1">
      <alignment horizontal="center" vertical="top" wrapText="1"/>
    </xf>
    <xf numFmtId="4" fontId="70" fillId="9" borderId="18" xfId="36" applyNumberFormat="1" applyFont="1" applyFill="1" applyBorder="1" applyAlignment="1">
      <alignment horizontal="right" vertical="top" wrapText="1"/>
    </xf>
    <xf numFmtId="0" fontId="59" fillId="9" borderId="133" xfId="35" applyFont="1" applyFill="1" applyBorder="1" applyAlignment="1">
      <alignment horizontal="center" vertical="top" wrapText="1"/>
    </xf>
    <xf numFmtId="4" fontId="70" fillId="9" borderId="133" xfId="36" applyNumberFormat="1" applyFont="1" applyFill="1" applyBorder="1" applyAlignment="1">
      <alignment horizontal="right" vertical="top" wrapText="1"/>
    </xf>
    <xf numFmtId="0" fontId="59" fillId="9" borderId="57" xfId="35" applyFont="1" applyFill="1" applyBorder="1" applyAlignment="1">
      <alignment horizontal="center" vertical="top" wrapText="1"/>
    </xf>
    <xf numFmtId="0" fontId="70" fillId="9" borderId="18" xfId="35" quotePrefix="1" applyFont="1" applyFill="1" applyBorder="1" applyAlignment="1">
      <alignment horizontal="center" vertical="top" wrapText="1"/>
    </xf>
    <xf numFmtId="0" fontId="70" fillId="9" borderId="133" xfId="35" quotePrefix="1" applyFont="1" applyFill="1" applyBorder="1" applyAlignment="1">
      <alignment horizontal="center" vertical="top" wrapText="1"/>
    </xf>
    <xf numFmtId="10" fontId="70" fillId="8" borderId="60" xfId="35" applyNumberFormat="1" applyFont="1" applyFill="1" applyBorder="1" applyAlignment="1">
      <alignment horizontal="right" vertical="top" wrapText="1"/>
    </xf>
    <xf numFmtId="10" fontId="70" fillId="8" borderId="32" xfId="36" applyNumberFormat="1" applyFont="1" applyFill="1" applyBorder="1" applyAlignment="1">
      <alignment horizontal="right" vertical="top" wrapText="1"/>
    </xf>
    <xf numFmtId="0" fontId="58" fillId="0" borderId="119" xfId="35" applyFont="1" applyBorder="1" applyAlignment="1">
      <alignment horizontal="center" vertical="top" wrapText="1"/>
    </xf>
    <xf numFmtId="0" fontId="58" fillId="0" borderId="32" xfId="35" applyFont="1" applyBorder="1" applyAlignment="1">
      <alignment horizontal="center" vertical="top" wrapText="1"/>
    </xf>
    <xf numFmtId="4" fontId="60" fillId="0" borderId="119" xfId="35" applyNumberFormat="1" applyFont="1" applyBorder="1" applyAlignment="1">
      <alignment horizontal="right" vertical="top" wrapText="1"/>
    </xf>
    <xf numFmtId="4" fontId="3" fillId="0" borderId="29" xfId="11" applyNumberFormat="1" applyBorder="1" applyAlignment="1">
      <alignment vertical="top"/>
    </xf>
    <xf numFmtId="0" fontId="3" fillId="0" borderId="0" xfId="11" applyAlignment="1">
      <alignment vertical="top"/>
    </xf>
    <xf numFmtId="43" fontId="57" fillId="0" borderId="68" xfId="35" applyNumberFormat="1" applyFont="1" applyFill="1" applyBorder="1" applyAlignment="1">
      <alignment horizontal="center" vertical="top" wrapText="1"/>
    </xf>
    <xf numFmtId="43" fontId="57" fillId="0" borderId="70" xfId="35" applyNumberFormat="1" applyFont="1" applyFill="1" applyBorder="1" applyAlignment="1">
      <alignment horizontal="center" vertical="top" wrapText="1"/>
    </xf>
    <xf numFmtId="43" fontId="115" fillId="0" borderId="71" xfId="35" applyNumberFormat="1" applyFont="1" applyFill="1" applyBorder="1" applyAlignment="1">
      <alignment horizontal="center" vertical="top" wrapText="1"/>
    </xf>
    <xf numFmtId="43" fontId="57" fillId="0" borderId="110" xfId="35" applyNumberFormat="1" applyFont="1" applyFill="1" applyBorder="1" applyAlignment="1">
      <alignment horizontal="center" vertical="top" wrapText="1"/>
    </xf>
    <xf numFmtId="43" fontId="115" fillId="0" borderId="69" xfId="35" applyNumberFormat="1" applyFont="1" applyFill="1" applyBorder="1" applyAlignment="1">
      <alignment horizontal="center" vertical="top" wrapText="1"/>
    </xf>
    <xf numFmtId="0" fontId="65" fillId="0" borderId="18" xfId="35" applyFont="1" applyBorder="1" applyAlignment="1">
      <alignment horizontal="center" vertical="top"/>
    </xf>
    <xf numFmtId="49" fontId="66" fillId="2" borderId="1" xfId="4" applyNumberFormat="1" applyFont="1" applyFill="1" applyBorder="1" applyAlignment="1" applyProtection="1">
      <alignment horizontal="left" vertical="top" wrapText="1"/>
      <protection locked="0"/>
    </xf>
    <xf numFmtId="4" fontId="65" fillId="0" borderId="18" xfId="35" applyNumberFormat="1" applyFont="1" applyBorder="1" applyAlignment="1">
      <alignment vertical="top"/>
    </xf>
    <xf numFmtId="10" fontId="65" fillId="0" borderId="75" xfId="35" applyNumberFormat="1" applyFont="1" applyBorder="1" applyAlignment="1">
      <alignment vertical="top"/>
    </xf>
    <xf numFmtId="4" fontId="65" fillId="0" borderId="80" xfId="35" applyNumberFormat="1" applyFont="1" applyBorder="1" applyAlignment="1">
      <alignment vertical="top"/>
    </xf>
    <xf numFmtId="10" fontId="65" fillId="0" borderId="60" xfId="35" applyNumberFormat="1" applyFont="1" applyBorder="1" applyAlignment="1">
      <alignment vertical="top"/>
    </xf>
    <xf numFmtId="4" fontId="65" fillId="0" borderId="29" xfId="35" applyNumberFormat="1" applyFont="1" applyBorder="1" applyAlignment="1">
      <alignment vertical="top"/>
    </xf>
    <xf numFmtId="10" fontId="65" fillId="0" borderId="76" xfId="35" applyNumberFormat="1" applyFont="1" applyBorder="1" applyAlignment="1">
      <alignment vertical="top"/>
    </xf>
    <xf numFmtId="4" fontId="65" fillId="0" borderId="15" xfId="35" applyNumberFormat="1" applyFont="1" applyBorder="1" applyAlignment="1">
      <alignment vertical="top"/>
    </xf>
    <xf numFmtId="10" fontId="65" fillId="0" borderId="72" xfId="35" applyNumberFormat="1" applyFont="1" applyBorder="1" applyAlignment="1">
      <alignment vertical="top"/>
    </xf>
    <xf numFmtId="0" fontId="57" fillId="7" borderId="18" xfId="35" applyFont="1" applyFill="1" applyBorder="1" applyAlignment="1">
      <alignment horizontal="left" vertical="top" wrapText="1"/>
    </xf>
    <xf numFmtId="10" fontId="3" fillId="7" borderId="18" xfId="11" applyNumberFormat="1" applyFill="1" applyBorder="1" applyAlignment="1">
      <alignment horizontal="center" vertical="top"/>
    </xf>
    <xf numFmtId="0" fontId="57" fillId="0" borderId="57" xfId="35" applyFont="1" applyFill="1" applyBorder="1" applyAlignment="1">
      <alignment horizontal="center" vertical="top" wrapText="1"/>
    </xf>
    <xf numFmtId="10" fontId="3" fillId="8" borderId="18" xfId="11" applyNumberFormat="1" applyFont="1" applyFill="1" applyBorder="1" applyAlignment="1">
      <alignment horizontal="center" vertical="top"/>
    </xf>
    <xf numFmtId="0" fontId="57" fillId="0" borderId="31" xfId="35" applyFont="1" applyFill="1" applyBorder="1" applyAlignment="1">
      <alignment horizontal="center" vertical="top" wrapText="1"/>
    </xf>
    <xf numFmtId="0" fontId="59" fillId="0" borderId="31" xfId="35" quotePrefix="1" applyFont="1" applyFill="1" applyBorder="1" applyAlignment="1">
      <alignment horizontal="center" vertical="top" wrapText="1"/>
    </xf>
    <xf numFmtId="49" fontId="10" fillId="2" borderId="14" xfId="1" applyNumberFormat="1" applyFont="1" applyFill="1" applyBorder="1" applyAlignment="1" applyProtection="1">
      <alignment horizontal="left" vertical="top" wrapText="1"/>
      <protection locked="0"/>
    </xf>
    <xf numFmtId="4" fontId="59" fillId="0" borderId="31" xfId="35" applyNumberFormat="1" applyFont="1" applyFill="1" applyBorder="1" applyAlignment="1">
      <alignment horizontal="right" vertical="top" wrapText="1"/>
    </xf>
    <xf numFmtId="4" fontId="3" fillId="0" borderId="31" xfId="11" applyNumberFormat="1" applyFont="1" applyBorder="1" applyAlignment="1">
      <alignment horizontal="right" vertical="top"/>
    </xf>
    <xf numFmtId="10" fontId="3" fillId="0" borderId="31" xfId="11" applyNumberFormat="1" applyFont="1" applyBorder="1" applyAlignment="1">
      <alignment horizontal="center" vertical="top"/>
    </xf>
    <xf numFmtId="4" fontId="69" fillId="7" borderId="18" xfId="35" applyNumberFormat="1" applyFont="1" applyFill="1" applyBorder="1" applyAlignment="1">
      <alignment horizontal="right" vertical="top" wrapText="1"/>
    </xf>
    <xf numFmtId="10" fontId="69" fillId="7" borderId="18" xfId="35" applyNumberFormat="1" applyFont="1" applyFill="1" applyBorder="1" applyAlignment="1">
      <alignment horizontal="right" vertical="top" wrapText="1"/>
    </xf>
    <xf numFmtId="0" fontId="71" fillId="0" borderId="31" xfId="35" quotePrefix="1" applyFont="1" applyFill="1" applyBorder="1" applyAlignment="1">
      <alignment horizontal="center" vertical="top" wrapText="1"/>
    </xf>
    <xf numFmtId="0" fontId="71" fillId="0" borderId="31" xfId="35" applyFont="1" applyFill="1" applyBorder="1" applyAlignment="1">
      <alignment horizontal="left" vertical="top" wrapText="1"/>
    </xf>
    <xf numFmtId="4" fontId="71" fillId="0" borderId="31" xfId="35" applyNumberFormat="1" applyFont="1" applyFill="1" applyBorder="1" applyAlignment="1">
      <alignment horizontal="right" vertical="top" wrapText="1"/>
    </xf>
    <xf numFmtId="10" fontId="3" fillId="0" borderId="18" xfId="11" applyNumberFormat="1" applyBorder="1" applyAlignment="1">
      <alignment vertical="top"/>
    </xf>
    <xf numFmtId="49" fontId="10" fillId="2" borderId="1" xfId="1" applyNumberFormat="1" applyFont="1" applyFill="1" applyBorder="1" applyAlignment="1" applyProtection="1">
      <alignment horizontal="left" vertical="top" wrapText="1"/>
      <protection locked="0"/>
    </xf>
    <xf numFmtId="10" fontId="70" fillId="9" borderId="18" xfId="36" applyNumberFormat="1" applyFont="1" applyFill="1" applyBorder="1" applyAlignment="1">
      <alignment horizontal="right" vertical="top" wrapText="1"/>
    </xf>
    <xf numFmtId="49" fontId="10" fillId="2" borderId="18" xfId="1" applyNumberFormat="1" applyFont="1" applyFill="1" applyBorder="1" applyAlignment="1" applyProtection="1">
      <alignment horizontal="left" vertical="top" wrapText="1"/>
      <protection locked="0"/>
    </xf>
    <xf numFmtId="49" fontId="10" fillId="2" borderId="143" xfId="1" applyNumberFormat="1" applyFont="1" applyFill="1" applyBorder="1" applyAlignment="1" applyProtection="1">
      <alignment horizontal="left" vertical="top" wrapText="1"/>
      <protection locked="0"/>
    </xf>
    <xf numFmtId="0" fontId="16" fillId="0" borderId="57" xfId="35" applyBorder="1" applyAlignment="1">
      <alignment vertical="top"/>
    </xf>
    <xf numFmtId="0" fontId="16" fillId="0" borderId="119" xfId="35" applyBorder="1" applyAlignment="1">
      <alignment vertical="top"/>
    </xf>
    <xf numFmtId="0" fontId="28" fillId="0" borderId="18" xfId="35" applyFont="1" applyBorder="1" applyAlignment="1">
      <alignment vertical="top" wrapText="1"/>
    </xf>
    <xf numFmtId="4" fontId="28" fillId="0" borderId="18" xfId="35" applyNumberFormat="1" applyFont="1" applyBorder="1" applyAlignment="1">
      <alignment vertical="top" wrapText="1"/>
    </xf>
    <xf numFmtId="0" fontId="64" fillId="8" borderId="119" xfId="35" applyFont="1" applyFill="1" applyBorder="1" applyAlignment="1">
      <alignment horizontal="center" vertical="top"/>
    </xf>
    <xf numFmtId="0" fontId="71" fillId="8" borderId="18" xfId="35" quotePrefix="1" applyFont="1" applyFill="1" applyBorder="1" applyAlignment="1">
      <alignment horizontal="center" vertical="top" wrapText="1"/>
    </xf>
    <xf numFmtId="49" fontId="10" fillId="12" borderId="1" xfId="1" applyNumberFormat="1" applyFont="1" applyFill="1" applyBorder="1" applyAlignment="1" applyProtection="1">
      <alignment horizontal="left" vertical="top" wrapText="1"/>
      <protection locked="0"/>
    </xf>
    <xf numFmtId="4" fontId="71" fillId="8" borderId="18" xfId="35" applyNumberFormat="1" applyFont="1" applyFill="1" applyBorder="1" applyAlignment="1">
      <alignment horizontal="right" vertical="top" wrapText="1"/>
    </xf>
    <xf numFmtId="10" fontId="136" fillId="8" borderId="57" xfId="11" applyNumberFormat="1" applyFont="1" applyFill="1" applyBorder="1" applyAlignment="1">
      <alignment horizontal="center" vertical="top"/>
    </xf>
    <xf numFmtId="0" fontId="16" fillId="0" borderId="68" xfId="35" applyBorder="1" applyAlignment="1">
      <alignment vertical="top"/>
    </xf>
    <xf numFmtId="0" fontId="64" fillId="0" borderId="68" xfId="35" applyFont="1" applyBorder="1" applyAlignment="1">
      <alignment vertical="top"/>
    </xf>
    <xf numFmtId="49" fontId="10" fillId="2" borderId="172" xfId="1" applyNumberFormat="1" applyFont="1" applyFill="1" applyBorder="1" applyAlignment="1" applyProtection="1">
      <alignment horizontal="left" vertical="top" wrapText="1"/>
      <protection locked="0"/>
    </xf>
    <xf numFmtId="4" fontId="71" fillId="0" borderId="69" xfId="35" applyNumberFormat="1" applyFont="1" applyBorder="1" applyAlignment="1">
      <alignment vertical="top" wrapText="1"/>
    </xf>
    <xf numFmtId="0" fontId="137" fillId="0" borderId="69" xfId="11" applyFont="1" applyBorder="1" applyAlignment="1">
      <alignment vertical="top"/>
    </xf>
    <xf numFmtId="10" fontId="137" fillId="0" borderId="69" xfId="11" applyNumberFormat="1" applyFont="1" applyBorder="1" applyAlignment="1">
      <alignment vertical="top"/>
    </xf>
    <xf numFmtId="4" fontId="27" fillId="0" borderId="68" xfId="35" applyNumberFormat="1" applyFont="1" applyBorder="1" applyAlignment="1">
      <alignment vertical="top"/>
    </xf>
    <xf numFmtId="0" fontId="59" fillId="8" borderId="119" xfId="35" applyFont="1" applyFill="1" applyBorder="1" applyAlignment="1">
      <alignment horizontal="center" vertical="top" wrapText="1"/>
    </xf>
    <xf numFmtId="49" fontId="63" fillId="12" borderId="173" xfId="16" applyNumberFormat="1" applyFont="1" applyFill="1" applyBorder="1" applyAlignment="1" applyProtection="1">
      <alignment horizontal="left" vertical="top" wrapText="1"/>
      <protection locked="0"/>
    </xf>
    <xf numFmtId="4" fontId="59" fillId="8" borderId="119" xfId="35" applyNumberFormat="1" applyFont="1" applyFill="1" applyBorder="1" applyAlignment="1">
      <alignment horizontal="right" vertical="top" wrapText="1"/>
    </xf>
    <xf numFmtId="10" fontId="59" fillId="8" borderId="119" xfId="35" applyNumberFormat="1" applyFont="1" applyFill="1" applyBorder="1" applyAlignment="1">
      <alignment horizontal="right" vertical="top" wrapText="1"/>
    </xf>
    <xf numFmtId="0" fontId="59" fillId="0" borderId="119" xfId="35" applyFont="1" applyBorder="1" applyAlignment="1">
      <alignment horizontal="center" vertical="top" wrapText="1"/>
    </xf>
    <xf numFmtId="4" fontId="59" fillId="0" borderId="119" xfId="35" applyNumberFormat="1" applyFont="1" applyBorder="1" applyAlignment="1">
      <alignment horizontal="right" vertical="top" wrapText="1"/>
    </xf>
    <xf numFmtId="4" fontId="59" fillId="0" borderId="60" xfId="35" applyNumberFormat="1" applyFont="1" applyBorder="1" applyAlignment="1">
      <alignment horizontal="right" vertical="top" wrapText="1"/>
    </xf>
    <xf numFmtId="10" fontId="59" fillId="0" borderId="60" xfId="35" applyNumberFormat="1" applyFont="1" applyBorder="1" applyAlignment="1">
      <alignment horizontal="right" vertical="top" wrapText="1"/>
    </xf>
    <xf numFmtId="0" fontId="60" fillId="0" borderId="60" xfId="35" applyFont="1" applyBorder="1" applyAlignment="1">
      <alignment horizontal="center" vertical="top" wrapText="1"/>
    </xf>
    <xf numFmtId="4" fontId="64" fillId="9" borderId="18" xfId="35" applyNumberFormat="1" applyFont="1" applyFill="1" applyBorder="1" applyAlignment="1">
      <alignment horizontal="right" vertical="top" wrapText="1"/>
    </xf>
    <xf numFmtId="4" fontId="64" fillId="9" borderId="60" xfId="35" applyNumberFormat="1" applyFont="1" applyFill="1" applyBorder="1" applyAlignment="1">
      <alignment horizontal="right" vertical="top" wrapText="1"/>
    </xf>
    <xf numFmtId="10" fontId="64" fillId="9" borderId="75" xfId="35" applyNumberFormat="1" applyFont="1" applyFill="1" applyBorder="1" applyAlignment="1">
      <alignment horizontal="right" vertical="top" wrapText="1"/>
    </xf>
    <xf numFmtId="4" fontId="57" fillId="9" borderId="60" xfId="35" applyNumberFormat="1" applyFont="1" applyFill="1" applyBorder="1" applyAlignment="1">
      <alignment horizontal="right" vertical="top" wrapText="1"/>
    </xf>
    <xf numFmtId="10" fontId="57" fillId="9" borderId="60" xfId="35" applyNumberFormat="1" applyFont="1" applyFill="1" applyBorder="1" applyAlignment="1">
      <alignment horizontal="right" vertical="top" wrapText="1"/>
    </xf>
    <xf numFmtId="4" fontId="57" fillId="9" borderId="119" xfId="35" applyNumberFormat="1" applyFont="1" applyFill="1" applyBorder="1" applyAlignment="1">
      <alignment horizontal="right" vertical="top" wrapText="1"/>
    </xf>
    <xf numFmtId="0" fontId="116" fillId="0" borderId="0" xfId="35" applyFont="1" applyBorder="1" applyAlignment="1">
      <alignment horizontal="right" vertical="center"/>
    </xf>
    <xf numFmtId="4" fontId="116" fillId="0" borderId="0" xfId="35" applyNumberFormat="1" applyFont="1" applyBorder="1" applyAlignment="1">
      <alignment vertical="center"/>
    </xf>
    <xf numFmtId="10" fontId="116" fillId="0" borderId="0" xfId="35" applyNumberFormat="1" applyFont="1" applyBorder="1" applyAlignment="1">
      <alignment vertical="center"/>
    </xf>
    <xf numFmtId="0" fontId="11" fillId="0" borderId="0" xfId="11" applyFont="1" applyBorder="1" applyAlignment="1">
      <alignment horizontal="center" vertical="center"/>
    </xf>
    <xf numFmtId="0" fontId="16" fillId="0" borderId="0" xfId="35" applyAlignment="1">
      <alignment vertical="center"/>
    </xf>
    <xf numFmtId="0" fontId="3" fillId="0" borderId="0" xfId="11" applyAlignment="1">
      <alignment vertical="center"/>
    </xf>
    <xf numFmtId="0" fontId="138" fillId="0" borderId="0" xfId="21" applyNumberFormat="1" applyFont="1" applyFill="1" applyBorder="1" applyAlignment="1" applyProtection="1">
      <alignment horizontal="left" vertical="top" wrapText="1"/>
      <protection locked="0"/>
    </xf>
    <xf numFmtId="0" fontId="58" fillId="9" borderId="57" xfId="35" applyFont="1" applyFill="1" applyBorder="1" applyAlignment="1">
      <alignment horizontal="center" vertical="top" wrapText="1"/>
    </xf>
    <xf numFmtId="49" fontId="8" fillId="23" borderId="14" xfId="1" applyNumberFormat="1" applyFont="1" applyFill="1" applyBorder="1" applyAlignment="1" applyProtection="1">
      <alignment horizontal="center" vertical="center" wrapText="1"/>
      <protection locked="0"/>
    </xf>
    <xf numFmtId="49" fontId="8" fillId="23" borderId="14" xfId="1" applyNumberFormat="1" applyFont="1" applyFill="1" applyBorder="1" applyAlignment="1" applyProtection="1">
      <alignment horizontal="left" vertical="center" wrapText="1"/>
      <protection locked="0"/>
    </xf>
    <xf numFmtId="4" fontId="122" fillId="23" borderId="14" xfId="1" applyNumberFormat="1" applyFont="1" applyFill="1" applyBorder="1" applyAlignment="1" applyProtection="1">
      <alignment horizontal="right" vertical="center" wrapText="1"/>
      <protection locked="0"/>
    </xf>
    <xf numFmtId="4" fontId="122" fillId="23" borderId="160" xfId="1" applyNumberFormat="1" applyFont="1" applyFill="1" applyBorder="1" applyAlignment="1" applyProtection="1">
      <alignment horizontal="right" vertical="center" wrapText="1"/>
      <protection locked="0"/>
    </xf>
    <xf numFmtId="4" fontId="122" fillId="23" borderId="161" xfId="1" applyNumberFormat="1" applyFont="1" applyFill="1" applyBorder="1" applyAlignment="1" applyProtection="1">
      <alignment horizontal="right" vertical="center" wrapText="1"/>
      <protection locked="0"/>
    </xf>
    <xf numFmtId="10" fontId="122" fillId="23" borderId="47" xfId="1" applyNumberFormat="1" applyFont="1" applyFill="1" applyBorder="1" applyAlignment="1" applyProtection="1">
      <alignment horizontal="right" vertical="center" wrapText="1"/>
      <protection locked="0"/>
    </xf>
    <xf numFmtId="49" fontId="8" fillId="23" borderId="1" xfId="1" applyNumberFormat="1" applyFont="1" applyFill="1" applyBorder="1" applyAlignment="1" applyProtection="1">
      <alignment horizontal="center" vertical="center" wrapText="1"/>
      <protection locked="0"/>
    </xf>
    <xf numFmtId="49" fontId="8" fillId="23" borderId="1" xfId="1" applyNumberFormat="1" applyFont="1" applyFill="1" applyBorder="1" applyAlignment="1" applyProtection="1">
      <alignment horizontal="left" vertical="center" wrapText="1"/>
      <protection locked="0"/>
    </xf>
    <xf numFmtId="4" fontId="122" fillId="23" borderId="140" xfId="1" applyNumberFormat="1" applyFont="1" applyFill="1" applyBorder="1" applyAlignment="1" applyProtection="1">
      <alignment horizontal="right" vertical="center" wrapText="1"/>
      <protection locked="0"/>
    </xf>
    <xf numFmtId="4" fontId="122" fillId="23" borderId="130" xfId="1" applyNumberFormat="1" applyFont="1" applyFill="1" applyBorder="1" applyAlignment="1" applyProtection="1">
      <alignment horizontal="right" vertical="center" wrapText="1"/>
      <protection locked="0"/>
    </xf>
    <xf numFmtId="4" fontId="122" fillId="23" borderId="162" xfId="1" applyNumberFormat="1" applyFont="1" applyFill="1" applyBorder="1" applyAlignment="1" applyProtection="1">
      <alignment horizontal="right" vertical="center" wrapText="1"/>
      <protection locked="0"/>
    </xf>
    <xf numFmtId="10" fontId="122" fillId="24" borderId="60" xfId="1" applyNumberFormat="1" applyFont="1" applyFill="1" applyBorder="1" applyAlignment="1" applyProtection="1">
      <alignment horizontal="right" vertical="center"/>
      <protection locked="0"/>
    </xf>
    <xf numFmtId="49" fontId="10" fillId="22" borderId="111" xfId="1" applyNumberFormat="1" applyFont="1" applyFill="1" applyBorder="1" applyAlignment="1" applyProtection="1">
      <alignment horizontal="center" vertical="center" wrapText="1"/>
      <protection locked="0"/>
    </xf>
    <xf numFmtId="49" fontId="10" fillId="22" borderId="18" xfId="1" quotePrefix="1" applyNumberFormat="1" applyFont="1" applyFill="1" applyBorder="1" applyAlignment="1" applyProtection="1">
      <alignment horizontal="center" vertical="center" wrapText="1"/>
      <protection locked="0"/>
    </xf>
    <xf numFmtId="49" fontId="10" fillId="22" borderId="1" xfId="1" applyNumberFormat="1" applyFont="1" applyFill="1" applyBorder="1" applyAlignment="1" applyProtection="1">
      <alignment horizontal="left" vertical="center" wrapText="1"/>
      <protection locked="0"/>
    </xf>
    <xf numFmtId="4" fontId="123" fillId="9" borderId="97" xfId="1" applyNumberFormat="1" applyFont="1" applyFill="1" applyBorder="1" applyAlignment="1" applyProtection="1">
      <alignment horizontal="right" vertical="center"/>
      <protection locked="0"/>
    </xf>
    <xf numFmtId="10" fontId="123" fillId="9" borderId="60" xfId="1" applyNumberFormat="1" applyFont="1" applyFill="1" applyBorder="1" applyAlignment="1" applyProtection="1">
      <alignment horizontal="right" vertical="center"/>
      <protection locked="0"/>
    </xf>
    <xf numFmtId="4" fontId="123" fillId="9" borderId="18" xfId="1" applyNumberFormat="1" applyFont="1" applyFill="1" applyBorder="1" applyAlignment="1" applyProtection="1">
      <alignment horizontal="right" vertical="center"/>
      <protection locked="0"/>
    </xf>
    <xf numFmtId="49" fontId="10" fillId="25" borderId="1" xfId="1" applyNumberFormat="1" applyFont="1" applyFill="1" applyBorder="1" applyAlignment="1" applyProtection="1">
      <alignment horizontal="center" vertical="center" wrapText="1"/>
      <protection locked="0"/>
    </xf>
    <xf numFmtId="49" fontId="9" fillId="25" borderId="1" xfId="1" applyNumberFormat="1" applyFont="1" applyFill="1" applyBorder="1" applyAlignment="1" applyProtection="1">
      <alignment horizontal="center" vertical="center" wrapText="1"/>
      <protection locked="0"/>
    </xf>
    <xf numFmtId="49" fontId="10" fillId="25" borderId="1" xfId="1" applyNumberFormat="1" applyFont="1" applyFill="1" applyBorder="1" applyAlignment="1" applyProtection="1">
      <alignment horizontal="left" vertical="center" wrapText="1"/>
      <protection locked="0"/>
    </xf>
    <xf numFmtId="4" fontId="123" fillId="25" borderId="140" xfId="1" applyNumberFormat="1" applyFont="1" applyFill="1" applyBorder="1" applyAlignment="1" applyProtection="1">
      <alignment horizontal="right" vertical="center" wrapText="1"/>
      <protection locked="0"/>
    </xf>
    <xf numFmtId="4" fontId="123" fillId="25" borderId="130" xfId="1" applyNumberFormat="1" applyFont="1" applyFill="1" applyBorder="1" applyAlignment="1" applyProtection="1">
      <alignment horizontal="right" vertical="center" wrapText="1"/>
      <protection locked="0"/>
    </xf>
    <xf numFmtId="4" fontId="123" fillId="25" borderId="162" xfId="1" applyNumberFormat="1" applyFont="1" applyFill="1" applyBorder="1" applyAlignment="1" applyProtection="1">
      <alignment horizontal="right" vertical="center" wrapText="1"/>
      <protection locked="0"/>
    </xf>
    <xf numFmtId="10" fontId="123" fillId="26" borderId="60" xfId="1" applyNumberFormat="1" applyFont="1" applyFill="1" applyBorder="1" applyAlignment="1" applyProtection="1">
      <alignment horizontal="right" vertical="center"/>
      <protection locked="0"/>
    </xf>
    <xf numFmtId="49" fontId="9" fillId="25" borderId="143" xfId="1" applyNumberFormat="1" applyFont="1" applyFill="1" applyBorder="1" applyAlignment="1" applyProtection="1">
      <alignment horizontal="center" vertical="center" wrapText="1"/>
      <protection locked="0"/>
    </xf>
    <xf numFmtId="49" fontId="10" fillId="25" borderId="143" xfId="1" applyNumberFormat="1" applyFont="1" applyFill="1" applyBorder="1" applyAlignment="1" applyProtection="1">
      <alignment horizontal="left" vertical="center" wrapText="1"/>
      <protection locked="0"/>
    </xf>
    <xf numFmtId="4" fontId="123" fillId="25" borderId="143" xfId="1" applyNumberFormat="1" applyFont="1" applyFill="1" applyBorder="1" applyAlignment="1" applyProtection="1">
      <alignment horizontal="right" vertical="center" wrapText="1"/>
      <protection locked="0"/>
    </xf>
    <xf numFmtId="4" fontId="123" fillId="25" borderId="131" xfId="1" applyNumberFormat="1" applyFont="1" applyFill="1" applyBorder="1" applyAlignment="1" applyProtection="1">
      <alignment horizontal="right" vertical="center" wrapText="1"/>
      <protection locked="0"/>
    </xf>
    <xf numFmtId="4" fontId="123" fillId="25" borderId="163" xfId="1" applyNumberFormat="1" applyFont="1" applyFill="1" applyBorder="1" applyAlignment="1" applyProtection="1">
      <alignment horizontal="right" vertical="center" wrapText="1"/>
      <protection locked="0"/>
    </xf>
    <xf numFmtId="4" fontId="123" fillId="25" borderId="14" xfId="1" applyNumberFormat="1" applyFont="1" applyFill="1" applyBorder="1" applyAlignment="1" applyProtection="1">
      <alignment horizontal="right" vertical="center" wrapText="1"/>
      <protection locked="0"/>
    </xf>
    <xf numFmtId="4" fontId="123" fillId="25" borderId="160" xfId="1" applyNumberFormat="1" applyFont="1" applyFill="1" applyBorder="1" applyAlignment="1" applyProtection="1">
      <alignment horizontal="right" vertical="center" wrapText="1"/>
      <protection locked="0"/>
    </xf>
    <xf numFmtId="4" fontId="123" fillId="25" borderId="161" xfId="1" applyNumberFormat="1" applyFont="1" applyFill="1" applyBorder="1" applyAlignment="1" applyProtection="1">
      <alignment horizontal="right" vertical="center" wrapText="1"/>
      <protection locked="0"/>
    </xf>
    <xf numFmtId="49" fontId="9" fillId="25" borderId="14" xfId="1" applyNumberFormat="1" applyFont="1" applyFill="1" applyBorder="1" applyAlignment="1" applyProtection="1">
      <alignment horizontal="center" vertical="center" wrapText="1"/>
      <protection locked="0"/>
    </xf>
    <xf numFmtId="49" fontId="10" fillId="25" borderId="14" xfId="1" applyNumberFormat="1" applyFont="1" applyFill="1" applyBorder="1" applyAlignment="1" applyProtection="1">
      <alignment horizontal="left" vertical="center" wrapText="1"/>
      <protection locked="0"/>
    </xf>
    <xf numFmtId="49" fontId="10" fillId="25" borderId="131" xfId="1" applyNumberFormat="1" applyFont="1" applyFill="1" applyBorder="1" applyAlignment="1" applyProtection="1">
      <alignment horizontal="center" vertical="center" wrapText="1"/>
      <protection locked="0"/>
    </xf>
    <xf numFmtId="49" fontId="9" fillId="25" borderId="133" xfId="1" applyNumberFormat="1" applyFont="1" applyFill="1" applyBorder="1" applyAlignment="1" applyProtection="1">
      <alignment horizontal="center" vertical="center" wrapText="1"/>
      <protection locked="0"/>
    </xf>
    <xf numFmtId="49" fontId="10" fillId="25" borderId="133" xfId="1" applyNumberFormat="1" applyFont="1" applyFill="1" applyBorder="1" applyAlignment="1" applyProtection="1">
      <alignment horizontal="left" vertical="center" wrapText="1"/>
      <protection locked="0"/>
    </xf>
    <xf numFmtId="4" fontId="123" fillId="25" borderId="133" xfId="1" applyNumberFormat="1" applyFont="1" applyFill="1" applyBorder="1" applyAlignment="1" applyProtection="1">
      <alignment horizontal="right" vertical="center" wrapText="1"/>
      <protection locked="0"/>
    </xf>
    <xf numFmtId="4" fontId="123" fillId="25" borderId="148" xfId="1" applyNumberFormat="1" applyFont="1" applyFill="1" applyBorder="1" applyAlignment="1" applyProtection="1">
      <alignment horizontal="right" vertical="center" wrapText="1"/>
      <protection locked="0"/>
    </xf>
    <xf numFmtId="4" fontId="123" fillId="25" borderId="158" xfId="1" applyNumberFormat="1" applyFont="1" applyFill="1" applyBorder="1" applyAlignment="1" applyProtection="1">
      <alignment horizontal="right" vertical="center" wrapText="1"/>
      <protection locked="0"/>
    </xf>
    <xf numFmtId="49" fontId="10" fillId="25" borderId="42" xfId="1" applyNumberFormat="1" applyFont="1" applyFill="1" applyBorder="1" applyAlignment="1" applyProtection="1">
      <alignment horizontal="center" vertical="center" wrapText="1"/>
      <protection locked="0"/>
    </xf>
    <xf numFmtId="49" fontId="10" fillId="25" borderId="18" xfId="1" applyNumberFormat="1" applyFont="1" applyFill="1" applyBorder="1" applyAlignment="1" applyProtection="1">
      <alignment horizontal="center" vertical="center" wrapText="1"/>
      <protection locked="0"/>
    </xf>
    <xf numFmtId="49" fontId="10" fillId="25" borderId="18" xfId="1" applyNumberFormat="1" applyFont="1" applyFill="1" applyBorder="1" applyAlignment="1" applyProtection="1">
      <alignment horizontal="left" vertical="center" wrapText="1"/>
      <protection locked="0"/>
    </xf>
    <xf numFmtId="4" fontId="123" fillId="25" borderId="18" xfId="1" applyNumberFormat="1" applyFont="1" applyFill="1" applyBorder="1" applyAlignment="1" applyProtection="1">
      <alignment horizontal="right" vertical="center" wrapText="1"/>
      <protection locked="0"/>
    </xf>
    <xf numFmtId="4" fontId="123" fillId="25" borderId="42" xfId="1" applyNumberFormat="1" applyFont="1" applyFill="1" applyBorder="1" applyAlignment="1" applyProtection="1">
      <alignment horizontal="right" vertical="center" wrapText="1"/>
      <protection locked="0"/>
    </xf>
    <xf numFmtId="4" fontId="123" fillId="25" borderId="97" xfId="1" applyNumberFormat="1" applyFont="1" applyFill="1" applyBorder="1" applyAlignment="1" applyProtection="1">
      <alignment horizontal="right" vertical="center" wrapText="1"/>
      <protection locked="0"/>
    </xf>
    <xf numFmtId="49" fontId="10" fillId="25" borderId="140" xfId="1" applyNumberFormat="1" applyFont="1" applyFill="1" applyBorder="1" applyAlignment="1" applyProtection="1">
      <alignment horizontal="center" vertical="center" wrapText="1"/>
      <protection locked="0"/>
    </xf>
    <xf numFmtId="49" fontId="10" fillId="25" borderId="140" xfId="1" applyNumberFormat="1" applyFont="1" applyFill="1" applyBorder="1" applyAlignment="1" applyProtection="1">
      <alignment horizontal="left" vertical="center" wrapText="1"/>
      <protection locked="0"/>
    </xf>
    <xf numFmtId="10" fontId="123" fillId="25" borderId="141" xfId="1" applyNumberFormat="1" applyFont="1" applyFill="1" applyBorder="1" applyAlignment="1" applyProtection="1">
      <alignment horizontal="right" vertical="center" wrapText="1"/>
      <protection locked="0"/>
    </xf>
    <xf numFmtId="49" fontId="21" fillId="25" borderId="1" xfId="21" applyNumberFormat="1" applyFont="1" applyFill="1" applyBorder="1" applyAlignment="1" applyProtection="1">
      <alignment horizontal="center" vertical="center" wrapText="1"/>
      <protection locked="0"/>
    </xf>
    <xf numFmtId="49" fontId="20" fillId="25" borderId="1" xfId="21" applyNumberFormat="1" applyFont="1" applyFill="1" applyBorder="1" applyAlignment="1" applyProtection="1">
      <alignment horizontal="center" vertical="center" wrapText="1"/>
      <protection locked="0"/>
    </xf>
    <xf numFmtId="49" fontId="21" fillId="25" borderId="1" xfId="21" applyNumberFormat="1" applyFont="1" applyFill="1" applyBorder="1" applyAlignment="1" applyProtection="1">
      <alignment horizontal="left" vertical="center" wrapText="1"/>
      <protection locked="0"/>
    </xf>
    <xf numFmtId="4" fontId="123" fillId="25" borderId="140" xfId="21" applyNumberFormat="1" applyFont="1" applyFill="1" applyBorder="1" applyAlignment="1" applyProtection="1">
      <alignment horizontal="right" vertical="center" wrapText="1"/>
      <protection locked="0"/>
    </xf>
    <xf numFmtId="4" fontId="123" fillId="25" borderId="130" xfId="21" applyNumberFormat="1" applyFont="1" applyFill="1" applyBorder="1" applyAlignment="1" applyProtection="1">
      <alignment horizontal="right" vertical="center" wrapText="1"/>
      <protection locked="0"/>
    </xf>
    <xf numFmtId="4" fontId="123" fillId="25" borderId="156" xfId="21" applyNumberFormat="1" applyFont="1" applyFill="1" applyBorder="1" applyAlignment="1" applyProtection="1">
      <alignment horizontal="right" vertical="center" wrapText="1"/>
      <protection locked="0"/>
    </xf>
    <xf numFmtId="10" fontId="123" fillId="25" borderId="141" xfId="21" applyNumberFormat="1" applyFont="1" applyFill="1" applyBorder="1" applyAlignment="1" applyProtection="1">
      <alignment horizontal="right" vertical="center" wrapText="1"/>
      <protection locked="0"/>
    </xf>
    <xf numFmtId="10" fontId="123" fillId="26" borderId="60" xfId="21" applyNumberFormat="1" applyFont="1" applyFill="1" applyBorder="1" applyAlignment="1" applyProtection="1">
      <alignment horizontal="right" vertical="center"/>
      <protection locked="0"/>
    </xf>
    <xf numFmtId="49" fontId="19" fillId="23" borderId="1" xfId="21" applyNumberFormat="1" applyFont="1" applyFill="1" applyBorder="1" applyAlignment="1" applyProtection="1">
      <alignment horizontal="center" vertical="center" wrapText="1"/>
      <protection locked="0"/>
    </xf>
    <xf numFmtId="49" fontId="19" fillId="23" borderId="1" xfId="21" applyNumberFormat="1" applyFont="1" applyFill="1" applyBorder="1" applyAlignment="1" applyProtection="1">
      <alignment horizontal="left" vertical="center" wrapText="1"/>
      <protection locked="0"/>
    </xf>
    <xf numFmtId="4" fontId="122" fillId="23" borderId="140" xfId="21" applyNumberFormat="1" applyFont="1" applyFill="1" applyBorder="1" applyAlignment="1" applyProtection="1">
      <alignment horizontal="right" vertical="center" wrapText="1"/>
      <protection locked="0"/>
    </xf>
    <xf numFmtId="4" fontId="122" fillId="23" borderId="130" xfId="21" applyNumberFormat="1" applyFont="1" applyFill="1" applyBorder="1" applyAlignment="1" applyProtection="1">
      <alignment horizontal="right" vertical="center" wrapText="1"/>
      <protection locked="0"/>
    </xf>
    <xf numFmtId="4" fontId="122" fillId="23" borderId="156" xfId="21" applyNumberFormat="1" applyFont="1" applyFill="1" applyBorder="1" applyAlignment="1" applyProtection="1">
      <alignment horizontal="right" vertical="center" wrapText="1"/>
      <protection locked="0"/>
    </xf>
    <xf numFmtId="10" fontId="122" fillId="24" borderId="60" xfId="21" applyNumberFormat="1" applyFont="1" applyFill="1" applyBorder="1" applyAlignment="1" applyProtection="1">
      <alignment horizontal="right" vertical="center"/>
      <protection locked="0"/>
    </xf>
    <xf numFmtId="10" fontId="122" fillId="23" borderId="141" xfId="21" applyNumberFormat="1" applyFont="1" applyFill="1" applyBorder="1" applyAlignment="1" applyProtection="1">
      <alignment horizontal="right" vertical="center" wrapText="1"/>
      <protection locked="0"/>
    </xf>
    <xf numFmtId="0" fontId="58" fillId="7" borderId="60" xfId="35" applyFont="1" applyFill="1" applyBorder="1" applyAlignment="1">
      <alignment horizontal="center" vertical="top" wrapText="1"/>
    </xf>
    <xf numFmtId="0" fontId="58" fillId="7" borderId="32" xfId="35" applyFont="1" applyFill="1" applyBorder="1" applyAlignment="1">
      <alignment horizontal="center" vertical="top" wrapText="1"/>
    </xf>
    <xf numFmtId="0" fontId="57" fillId="7" borderId="32" xfId="35" applyFont="1" applyFill="1" applyBorder="1" applyAlignment="1">
      <alignment vertical="top" wrapText="1"/>
    </xf>
    <xf numFmtId="10" fontId="57" fillId="7" borderId="75" xfId="35" applyNumberFormat="1" applyFont="1" applyFill="1" applyBorder="1" applyAlignment="1">
      <alignment horizontal="right" vertical="top" wrapText="1"/>
    </xf>
    <xf numFmtId="4" fontId="57" fillId="7" borderId="60" xfId="35" applyNumberFormat="1" applyFont="1" applyFill="1" applyBorder="1" applyAlignment="1">
      <alignment horizontal="right" vertical="top" wrapText="1"/>
    </xf>
    <xf numFmtId="0" fontId="61" fillId="7" borderId="18" xfId="35" applyFont="1" applyFill="1" applyBorder="1" applyAlignment="1">
      <alignment horizontal="center" vertical="top" wrapText="1"/>
    </xf>
    <xf numFmtId="0" fontId="61" fillId="7" borderId="18" xfId="35" applyFont="1" applyFill="1" applyBorder="1" applyAlignment="1">
      <alignment vertical="top" wrapText="1"/>
    </xf>
    <xf numFmtId="4" fontId="61" fillId="7" borderId="18" xfId="35" applyNumberFormat="1" applyFont="1" applyFill="1" applyBorder="1" applyAlignment="1">
      <alignment horizontal="right" vertical="top" wrapText="1"/>
    </xf>
    <xf numFmtId="10" fontId="61" fillId="7" borderId="75" xfId="35" applyNumberFormat="1" applyFont="1" applyFill="1" applyBorder="1" applyAlignment="1">
      <alignment horizontal="right" vertical="top" wrapText="1"/>
    </xf>
    <xf numFmtId="4" fontId="61" fillId="7" borderId="60" xfId="35" applyNumberFormat="1" applyFont="1" applyFill="1" applyBorder="1" applyAlignment="1">
      <alignment horizontal="right" vertical="top" wrapText="1"/>
    </xf>
    <xf numFmtId="10" fontId="61" fillId="7" borderId="18" xfId="35" applyNumberFormat="1" applyFont="1" applyFill="1" applyBorder="1" applyAlignment="1">
      <alignment horizontal="right" vertical="top" wrapText="1"/>
    </xf>
    <xf numFmtId="10" fontId="57" fillId="7" borderId="60" xfId="35" applyNumberFormat="1" applyFont="1" applyFill="1" applyBorder="1" applyAlignment="1">
      <alignment horizontal="right" vertical="top" wrapText="1"/>
    </xf>
    <xf numFmtId="4" fontId="57" fillId="7" borderId="15" xfId="35" applyNumberFormat="1" applyFont="1" applyFill="1" applyBorder="1" applyAlignment="1">
      <alignment horizontal="right" vertical="top" wrapText="1"/>
    </xf>
    <xf numFmtId="10" fontId="57" fillId="7" borderId="72" xfId="35" applyNumberFormat="1" applyFont="1" applyFill="1" applyBorder="1" applyAlignment="1">
      <alignment horizontal="right" vertical="top" wrapText="1"/>
    </xf>
    <xf numFmtId="4" fontId="57" fillId="7" borderId="32" xfId="35" applyNumberFormat="1" applyFont="1" applyFill="1" applyBorder="1" applyAlignment="1">
      <alignment horizontal="right" vertical="top" wrapText="1"/>
    </xf>
    <xf numFmtId="10" fontId="57" fillId="7" borderId="32" xfId="35" applyNumberFormat="1" applyFont="1" applyFill="1" applyBorder="1" applyAlignment="1">
      <alignment horizontal="right" vertical="top" wrapText="1"/>
    </xf>
    <xf numFmtId="0" fontId="58" fillId="9" borderId="31" xfId="35" applyFont="1" applyFill="1" applyBorder="1" applyAlignment="1">
      <alignment horizontal="center" vertical="top" wrapText="1"/>
    </xf>
    <xf numFmtId="0" fontId="60" fillId="9" borderId="32" xfId="35" applyFont="1" applyFill="1" applyBorder="1" applyAlignment="1">
      <alignment vertical="top" wrapText="1"/>
    </xf>
    <xf numFmtId="4" fontId="60" fillId="9" borderId="15" xfId="35" applyNumberFormat="1" applyFont="1" applyFill="1" applyBorder="1" applyAlignment="1">
      <alignment horizontal="right" vertical="top" wrapText="1"/>
    </xf>
    <xf numFmtId="4" fontId="60" fillId="9" borderId="32" xfId="35" applyNumberFormat="1" applyFont="1" applyFill="1" applyBorder="1" applyAlignment="1">
      <alignment horizontal="right" vertical="top" wrapText="1"/>
    </xf>
    <xf numFmtId="10" fontId="60" fillId="9" borderId="72" xfId="35" applyNumberFormat="1" applyFont="1" applyFill="1" applyBorder="1" applyAlignment="1">
      <alignment horizontal="right" vertical="top" wrapText="1"/>
    </xf>
    <xf numFmtId="10" fontId="60" fillId="9" borderId="32" xfId="35" applyNumberFormat="1" applyFont="1" applyFill="1" applyBorder="1" applyAlignment="1">
      <alignment horizontal="right" vertical="top" wrapText="1"/>
    </xf>
    <xf numFmtId="4" fontId="3" fillId="9" borderId="18" xfId="11" applyNumberFormat="1" applyFill="1" applyBorder="1" applyAlignment="1">
      <alignment vertical="top"/>
    </xf>
    <xf numFmtId="0" fontId="3" fillId="9" borderId="18" xfId="11" applyFill="1" applyBorder="1" applyAlignment="1">
      <alignment vertical="top"/>
    </xf>
    <xf numFmtId="0" fontId="57" fillId="7" borderId="18" xfId="35" quotePrefix="1" applyFont="1" applyFill="1" applyBorder="1" applyAlignment="1">
      <alignment horizontal="center" vertical="top" wrapText="1"/>
    </xf>
    <xf numFmtId="0" fontId="57" fillId="7" borderId="15" xfId="35" applyFont="1" applyFill="1" applyBorder="1" applyAlignment="1">
      <alignment horizontal="center" vertical="top" wrapText="1"/>
    </xf>
    <xf numFmtId="4" fontId="57" fillId="7" borderId="32" xfId="35" applyNumberFormat="1" applyFont="1" applyFill="1" applyBorder="1" applyAlignment="1">
      <alignment vertical="top" wrapText="1"/>
    </xf>
    <xf numFmtId="10" fontId="57" fillId="7" borderId="78" xfId="35" applyNumberFormat="1" applyFont="1" applyFill="1" applyBorder="1" applyAlignment="1">
      <alignment vertical="top" wrapText="1"/>
    </xf>
    <xf numFmtId="4" fontId="57" fillId="7" borderId="79" xfId="35" applyNumberFormat="1" applyFont="1" applyFill="1" applyBorder="1" applyAlignment="1">
      <alignment vertical="top" wrapText="1"/>
    </xf>
    <xf numFmtId="4" fontId="57" fillId="7" borderId="15" xfId="35" applyNumberFormat="1" applyFont="1" applyFill="1" applyBorder="1" applyAlignment="1">
      <alignment vertical="top" wrapText="1"/>
    </xf>
    <xf numFmtId="10" fontId="57" fillId="7" borderId="32" xfId="35" applyNumberFormat="1" applyFont="1" applyFill="1" applyBorder="1" applyAlignment="1">
      <alignment vertical="top" wrapText="1"/>
    </xf>
    <xf numFmtId="0" fontId="28" fillId="0" borderId="18" xfId="35" quotePrefix="1" applyFont="1" applyBorder="1" applyAlignment="1">
      <alignment horizontal="center" vertical="top" wrapText="1"/>
    </xf>
    <xf numFmtId="0" fontId="71" fillId="0" borderId="69" xfId="35" quotePrefix="1" applyFont="1" applyBorder="1" applyAlignment="1">
      <alignment horizontal="center" vertical="top" wrapText="1"/>
    </xf>
    <xf numFmtId="10" fontId="27" fillId="0" borderId="68" xfId="35" applyNumberFormat="1" applyFont="1" applyBorder="1" applyAlignment="1">
      <alignment vertical="top"/>
    </xf>
    <xf numFmtId="0" fontId="58" fillId="7" borderId="60" xfId="35" applyFont="1" applyFill="1" applyBorder="1" applyAlignment="1">
      <alignment horizontal="center" vertical="center" wrapText="1"/>
    </xf>
    <xf numFmtId="0" fontId="58" fillId="7" borderId="32" xfId="35" applyFont="1" applyFill="1" applyBorder="1" applyAlignment="1">
      <alignment horizontal="center" vertical="center" wrapText="1"/>
    </xf>
    <xf numFmtId="0" fontId="57" fillId="7" borderId="32" xfId="35" applyFont="1" applyFill="1" applyBorder="1" applyAlignment="1">
      <alignment vertical="center" wrapText="1"/>
    </xf>
    <xf numFmtId="4" fontId="57" fillId="7" borderId="32" xfId="35" applyNumberFormat="1" applyFont="1" applyFill="1" applyBorder="1" applyAlignment="1">
      <alignment horizontal="right" vertical="center" wrapText="1"/>
    </xf>
    <xf numFmtId="10" fontId="57" fillId="7" borderId="32" xfId="35" applyNumberFormat="1" applyFont="1" applyFill="1" applyBorder="1" applyAlignment="1">
      <alignment horizontal="right" vertical="center" wrapText="1"/>
    </xf>
    <xf numFmtId="0" fontId="57" fillId="7" borderId="60" xfId="35" applyFont="1" applyFill="1" applyBorder="1" applyAlignment="1">
      <alignment vertical="center" wrapText="1"/>
    </xf>
    <xf numFmtId="4" fontId="57" fillId="7" borderId="60" xfId="35" applyNumberFormat="1" applyFont="1" applyFill="1" applyBorder="1" applyAlignment="1">
      <alignment horizontal="right" vertical="center" wrapText="1"/>
    </xf>
    <xf numFmtId="10" fontId="57" fillId="7" borderId="60" xfId="35" applyNumberFormat="1" applyFont="1" applyFill="1" applyBorder="1" applyAlignment="1">
      <alignment horizontal="right" vertical="center" wrapText="1"/>
    </xf>
    <xf numFmtId="0" fontId="53" fillId="7" borderId="18" xfId="31" applyFont="1" applyFill="1" applyBorder="1" applyAlignment="1">
      <alignment horizontal="left" vertical="top" wrapText="1"/>
    </xf>
    <xf numFmtId="0" fontId="27" fillId="7" borderId="90" xfId="31" applyFont="1" applyFill="1" applyBorder="1" applyAlignment="1">
      <alignment horizontal="left" vertical="top"/>
    </xf>
    <xf numFmtId="4" fontId="87" fillId="0" borderId="157" xfId="21" applyNumberFormat="1" applyFont="1" applyFill="1" applyBorder="1" applyAlignment="1" applyProtection="1">
      <alignment horizontal="right" vertical="center"/>
      <protection locked="0"/>
    </xf>
    <xf numFmtId="0" fontId="125" fillId="0" borderId="31" xfId="21" applyNumberFormat="1" applyFont="1" applyFill="1" applyBorder="1" applyAlignment="1" applyProtection="1">
      <alignment horizontal="left" vertical="top"/>
      <protection locked="0"/>
    </xf>
    <xf numFmtId="0" fontId="125" fillId="0" borderId="0" xfId="21" applyNumberFormat="1" applyFont="1" applyFill="1" applyBorder="1" applyAlignment="1" applyProtection="1">
      <alignment horizontal="left" vertical="top"/>
      <protection locked="0"/>
    </xf>
    <xf numFmtId="0" fontId="130" fillId="0" borderId="119" xfId="21" applyNumberFormat="1" applyFont="1" applyFill="1" applyBorder="1" applyAlignment="1" applyProtection="1">
      <alignment horizontal="left" vertical="top" wrapText="1"/>
      <protection locked="0"/>
    </xf>
    <xf numFmtId="4" fontId="113" fillId="0" borderId="119" xfId="21" applyNumberFormat="1" applyFont="1" applyFill="1" applyBorder="1" applyAlignment="1" applyProtection="1">
      <alignment horizontal="right" vertical="top"/>
      <protection locked="0"/>
    </xf>
    <xf numFmtId="0" fontId="122" fillId="0" borderId="133" xfId="21" applyNumberFormat="1" applyFont="1" applyFill="1" applyBorder="1" applyAlignment="1" applyProtection="1">
      <alignment horizontal="left" vertical="top" wrapText="1"/>
      <protection locked="0"/>
    </xf>
    <xf numFmtId="4" fontId="122" fillId="0" borderId="133" xfId="21" applyNumberFormat="1" applyFont="1" applyFill="1" applyBorder="1" applyAlignment="1" applyProtection="1">
      <alignment horizontal="right" vertical="top"/>
      <protection locked="0"/>
    </xf>
    <xf numFmtId="4" fontId="122" fillId="0" borderId="148" xfId="21" applyNumberFormat="1" applyFont="1" applyFill="1" applyBorder="1" applyAlignment="1" applyProtection="1">
      <alignment horizontal="right" vertical="top"/>
      <protection locked="0"/>
    </xf>
    <xf numFmtId="4" fontId="122" fillId="0" borderId="158" xfId="21" applyNumberFormat="1" applyFont="1" applyFill="1" applyBorder="1" applyAlignment="1" applyProtection="1">
      <alignment horizontal="right" vertical="top"/>
      <protection locked="0"/>
    </xf>
    <xf numFmtId="10" fontId="122" fillId="0" borderId="159" xfId="21" applyNumberFormat="1" applyFont="1" applyFill="1" applyBorder="1" applyAlignment="1" applyProtection="1">
      <alignment horizontal="right" vertical="top"/>
      <protection locked="0"/>
    </xf>
    <xf numFmtId="0" fontId="122" fillId="0" borderId="18" xfId="21" applyNumberFormat="1" applyFont="1" applyFill="1" applyBorder="1" applyAlignment="1" applyProtection="1">
      <alignment horizontal="left" vertical="top" wrapText="1"/>
      <protection locked="0"/>
    </xf>
    <xf numFmtId="4" fontId="122" fillId="0" borderId="18" xfId="21" applyNumberFormat="1" applyFont="1" applyFill="1" applyBorder="1" applyAlignment="1" applyProtection="1">
      <alignment horizontal="right" vertical="top" wrapText="1"/>
      <protection locked="0"/>
    </xf>
    <xf numFmtId="0" fontId="139" fillId="0" borderId="57" xfId="21" applyNumberFormat="1" applyFont="1" applyFill="1" applyBorder="1" applyAlignment="1" applyProtection="1">
      <alignment horizontal="left" vertical="top" wrapText="1"/>
      <protection locked="0"/>
    </xf>
    <xf numFmtId="4" fontId="113" fillId="0" borderId="57" xfId="21" applyNumberFormat="1" applyFont="1" applyFill="1" applyBorder="1" applyAlignment="1" applyProtection="1">
      <alignment horizontal="right" vertical="top"/>
      <protection locked="0"/>
    </xf>
    <xf numFmtId="10" fontId="113" fillId="0" borderId="31" xfId="21" applyNumberFormat="1" applyFont="1" applyFill="1" applyBorder="1" applyAlignment="1" applyProtection="1">
      <alignment horizontal="right" vertical="top"/>
      <protection locked="0"/>
    </xf>
    <xf numFmtId="0" fontId="130" fillId="0" borderId="57" xfId="21" applyNumberFormat="1" applyFont="1" applyFill="1" applyBorder="1" applyAlignment="1" applyProtection="1">
      <alignment horizontal="left" vertical="top" wrapText="1"/>
      <protection locked="0"/>
    </xf>
    <xf numFmtId="4" fontId="113" fillId="0" borderId="40" xfId="21" applyNumberFormat="1" applyFont="1" applyFill="1" applyBorder="1" applyAlignment="1" applyProtection="1">
      <alignment horizontal="right" vertical="top"/>
      <protection locked="0"/>
    </xf>
    <xf numFmtId="4" fontId="113" fillId="0" borderId="174" xfId="21" applyNumberFormat="1" applyFont="1" applyFill="1" applyBorder="1" applyAlignment="1" applyProtection="1">
      <alignment horizontal="right" vertical="top"/>
      <protection locked="0"/>
    </xf>
    <xf numFmtId="4" fontId="113" fillId="0" borderId="100" xfId="21" applyNumberFormat="1" applyFont="1" applyFill="1" applyBorder="1" applyAlignment="1" applyProtection="1">
      <alignment horizontal="right" vertical="top"/>
      <protection locked="0"/>
    </xf>
    <xf numFmtId="4" fontId="113" fillId="0" borderId="102" xfId="21" applyNumberFormat="1" applyFont="1" applyFill="1" applyBorder="1" applyAlignment="1" applyProtection="1">
      <alignment horizontal="right" vertical="top"/>
      <protection locked="0"/>
    </xf>
    <xf numFmtId="4" fontId="40" fillId="0" borderId="18" xfId="33" applyNumberFormat="1" applyFont="1" applyBorder="1"/>
    <xf numFmtId="10" fontId="40" fillId="0" borderId="18" xfId="33" applyNumberFormat="1" applyFont="1" applyBorder="1"/>
    <xf numFmtId="49" fontId="9" fillId="25" borderId="111" xfId="1" applyNumberFormat="1" applyFont="1" applyFill="1" applyBorder="1" applyAlignment="1" applyProtection="1">
      <alignment horizontal="center" vertical="center" wrapText="1"/>
      <protection locked="0"/>
    </xf>
    <xf numFmtId="49" fontId="10" fillId="25" borderId="111" xfId="1" applyNumberFormat="1" applyFont="1" applyFill="1" applyBorder="1" applyAlignment="1" applyProtection="1">
      <alignment horizontal="left" vertical="center" wrapText="1"/>
      <protection locked="0"/>
    </xf>
    <xf numFmtId="4" fontId="123" fillId="25" borderId="111" xfId="1" applyNumberFormat="1" applyFont="1" applyFill="1" applyBorder="1" applyAlignment="1" applyProtection="1">
      <alignment horizontal="right" vertical="center" wrapText="1"/>
      <protection locked="0"/>
    </xf>
    <xf numFmtId="4" fontId="123" fillId="25" borderId="106" xfId="1" applyNumberFormat="1" applyFont="1" applyFill="1" applyBorder="1" applyAlignment="1" applyProtection="1">
      <alignment horizontal="right" vertical="center" wrapText="1"/>
      <protection locked="0"/>
    </xf>
    <xf numFmtId="4" fontId="123" fillId="25" borderId="100" xfId="1" applyNumberFormat="1" applyFont="1" applyFill="1" applyBorder="1" applyAlignment="1" applyProtection="1">
      <alignment horizontal="right" vertical="center" wrapText="1"/>
      <protection locked="0"/>
    </xf>
    <xf numFmtId="4" fontId="123" fillId="2" borderId="0" xfId="1" applyNumberFormat="1" applyFont="1" applyFill="1" applyBorder="1" applyAlignment="1" applyProtection="1">
      <alignment horizontal="right" vertical="center" wrapText="1"/>
      <protection locked="0"/>
    </xf>
    <xf numFmtId="4" fontId="123" fillId="2" borderId="100" xfId="1" applyNumberFormat="1" applyFont="1" applyFill="1" applyBorder="1" applyAlignment="1" applyProtection="1">
      <alignment horizontal="right" vertical="center" wrapText="1"/>
      <protection locked="0"/>
    </xf>
    <xf numFmtId="4" fontId="123" fillId="0" borderId="100" xfId="1" applyNumberFormat="1" applyFont="1" applyFill="1" applyBorder="1" applyAlignment="1" applyProtection="1">
      <alignment horizontal="right" vertical="center"/>
      <protection locked="0"/>
    </xf>
    <xf numFmtId="10" fontId="123" fillId="26" borderId="32" xfId="1" applyNumberFormat="1" applyFont="1" applyFill="1" applyBorder="1" applyAlignment="1" applyProtection="1">
      <alignment horizontal="right" vertical="center"/>
      <protection locked="0"/>
    </xf>
    <xf numFmtId="4" fontId="123" fillId="25" borderId="173" xfId="1" applyNumberFormat="1" applyFont="1" applyFill="1" applyBorder="1" applyAlignment="1" applyProtection="1">
      <alignment horizontal="right" vertical="center" wrapText="1"/>
      <protection locked="0"/>
    </xf>
    <xf numFmtId="4" fontId="123" fillId="2" borderId="174" xfId="1" applyNumberFormat="1" applyFont="1" applyFill="1" applyBorder="1" applyAlignment="1" applyProtection="1">
      <alignment horizontal="right" vertical="center" wrapText="1"/>
      <protection locked="0"/>
    </xf>
    <xf numFmtId="4" fontId="123" fillId="2" borderId="102" xfId="1" applyNumberFormat="1" applyFont="1" applyFill="1" applyBorder="1" applyAlignment="1" applyProtection="1">
      <alignment horizontal="right" vertical="center" wrapText="1"/>
      <protection locked="0"/>
    </xf>
    <xf numFmtId="4" fontId="123" fillId="2" borderId="26" xfId="1" applyNumberFormat="1" applyFont="1" applyFill="1" applyBorder="1" applyAlignment="1" applyProtection="1">
      <alignment horizontal="right" vertical="center" wrapText="1"/>
      <protection locked="0"/>
    </xf>
    <xf numFmtId="49" fontId="10" fillId="2" borderId="175" xfId="1" applyNumberFormat="1" applyFont="1" applyFill="1" applyBorder="1" applyAlignment="1" applyProtection="1">
      <alignment horizontal="left" vertical="center" wrapText="1"/>
      <protection locked="0"/>
    </xf>
    <xf numFmtId="49" fontId="10" fillId="2" borderId="176" xfId="1" applyNumberFormat="1" applyFont="1" applyFill="1" applyBorder="1" applyAlignment="1" applyProtection="1">
      <alignment horizontal="center" vertical="center" wrapText="1"/>
      <protection locked="0"/>
    </xf>
    <xf numFmtId="4" fontId="133" fillId="0" borderId="84" xfId="1" applyNumberFormat="1" applyFont="1" applyFill="1" applyBorder="1" applyAlignment="1" applyProtection="1">
      <alignment horizontal="right" vertical="center"/>
      <protection locked="0"/>
    </xf>
    <xf numFmtId="4" fontId="133" fillId="0" borderId="96" xfId="1" applyNumberFormat="1" applyFont="1" applyFill="1" applyBorder="1" applyAlignment="1" applyProtection="1">
      <alignment horizontal="right" vertical="center"/>
      <protection locked="0"/>
    </xf>
    <xf numFmtId="4" fontId="122" fillId="23" borderId="173" xfId="1" applyNumberFormat="1" applyFont="1" applyFill="1" applyBorder="1" applyAlignment="1" applyProtection="1">
      <alignment horizontal="right" vertical="center" wrapText="1"/>
      <protection locked="0"/>
    </xf>
    <xf numFmtId="49" fontId="10" fillId="25" borderId="141" xfId="1" applyNumberFormat="1" applyFont="1" applyFill="1" applyBorder="1" applyAlignment="1" applyProtection="1">
      <alignment horizontal="center" vertical="center" wrapText="1"/>
      <protection locked="0"/>
    </xf>
    <xf numFmtId="4" fontId="123" fillId="26" borderId="97" xfId="1" applyNumberFormat="1" applyFont="1" applyFill="1" applyBorder="1" applyAlignment="1" applyProtection="1">
      <alignment horizontal="right" vertical="center"/>
      <protection locked="0"/>
    </xf>
    <xf numFmtId="4" fontId="123" fillId="26" borderId="18" xfId="1" applyNumberFormat="1" applyFont="1" applyFill="1" applyBorder="1" applyAlignment="1" applyProtection="1">
      <alignment horizontal="right" vertical="center"/>
      <protection locked="0"/>
    </xf>
    <xf numFmtId="4" fontId="8" fillId="23" borderId="1" xfId="1" applyNumberFormat="1" applyFont="1" applyFill="1" applyBorder="1" applyAlignment="1" applyProtection="1">
      <alignment vertical="center" wrapText="1"/>
      <protection locked="0"/>
    </xf>
    <xf numFmtId="4" fontId="8" fillId="23" borderId="130" xfId="1" applyNumberFormat="1" applyFont="1" applyFill="1" applyBorder="1" applyAlignment="1" applyProtection="1">
      <alignment vertical="center" wrapText="1"/>
      <protection locked="0"/>
    </xf>
    <xf numFmtId="10" fontId="8" fillId="23" borderId="141" xfId="1" applyNumberFormat="1" applyFont="1" applyFill="1" applyBorder="1" applyAlignment="1" applyProtection="1">
      <alignment vertical="center" wrapText="1"/>
      <protection locked="0"/>
    </xf>
    <xf numFmtId="4" fontId="8" fillId="23" borderId="157" xfId="1" applyNumberFormat="1" applyFont="1" applyFill="1" applyBorder="1" applyAlignment="1" applyProtection="1">
      <alignment vertical="center" wrapText="1"/>
      <protection locked="0"/>
    </xf>
    <xf numFmtId="4" fontId="41" fillId="0" borderId="0" xfId="40" applyNumberFormat="1" applyFont="1"/>
    <xf numFmtId="4" fontId="123" fillId="2" borderId="30" xfId="1" applyNumberFormat="1" applyFont="1" applyFill="1" applyBorder="1" applyAlignment="1" applyProtection="1">
      <alignment horizontal="right" vertical="center" wrapText="1"/>
      <protection locked="0"/>
    </xf>
    <xf numFmtId="10" fontId="123" fillId="0" borderId="31" xfId="1" applyNumberFormat="1" applyFont="1" applyFill="1" applyBorder="1" applyAlignment="1" applyProtection="1">
      <alignment horizontal="right" vertical="center"/>
      <protection locked="0"/>
    </xf>
    <xf numFmtId="4" fontId="122" fillId="2" borderId="168" xfId="1" applyNumberFormat="1" applyFont="1" applyFill="1" applyBorder="1" applyAlignment="1" applyProtection="1">
      <alignment horizontal="right" vertical="center" wrapText="1"/>
      <protection locked="0"/>
    </xf>
    <xf numFmtId="4" fontId="122" fillId="2" borderId="53" xfId="1" applyNumberFormat="1" applyFont="1" applyFill="1" applyBorder="1" applyAlignment="1" applyProtection="1">
      <alignment horizontal="right" vertical="center" wrapText="1"/>
      <protection locked="0"/>
    </xf>
    <xf numFmtId="4" fontId="122" fillId="2" borderId="169" xfId="1" applyNumberFormat="1" applyFont="1" applyFill="1" applyBorder="1" applyAlignment="1" applyProtection="1">
      <alignment horizontal="right" vertical="center" wrapText="1"/>
      <protection locked="0"/>
    </xf>
    <xf numFmtId="10" fontId="122" fillId="2" borderId="168" xfId="1" applyNumberFormat="1" applyFont="1" applyFill="1" applyBorder="1" applyAlignment="1" applyProtection="1">
      <alignment horizontal="right" vertical="center" wrapText="1"/>
      <protection locked="0"/>
    </xf>
    <xf numFmtId="4" fontId="133" fillId="0" borderId="87" xfId="1" applyNumberFormat="1" applyFont="1" applyFill="1" applyBorder="1" applyAlignment="1" applyProtection="1">
      <alignment vertical="center"/>
      <protection locked="0"/>
    </xf>
    <xf numFmtId="4" fontId="133" fillId="0" borderId="84" xfId="1" applyNumberFormat="1" applyFont="1" applyFill="1" applyBorder="1" applyAlignment="1" applyProtection="1">
      <alignment vertical="center"/>
      <protection locked="0"/>
    </xf>
    <xf numFmtId="4" fontId="133" fillId="0" borderId="96" xfId="1" applyNumberFormat="1" applyFont="1" applyFill="1" applyBorder="1" applyAlignment="1" applyProtection="1">
      <alignment vertical="center"/>
      <protection locked="0"/>
    </xf>
    <xf numFmtId="10" fontId="133" fillId="0" borderId="86" xfId="1" applyNumberFormat="1" applyFont="1" applyFill="1" applyBorder="1" applyAlignment="1" applyProtection="1">
      <alignment vertical="center"/>
      <protection locked="0"/>
    </xf>
    <xf numFmtId="4" fontId="68" fillId="0" borderId="87" xfId="11" applyNumberFormat="1" applyFont="1" applyBorder="1" applyAlignment="1">
      <alignment vertical="center"/>
    </xf>
    <xf numFmtId="10" fontId="68" fillId="0" borderId="177" xfId="11" applyNumberFormat="1" applyFont="1" applyBorder="1" applyAlignment="1">
      <alignment vertical="center"/>
    </xf>
    <xf numFmtId="4" fontId="68" fillId="0" borderId="101" xfId="11" applyNumberFormat="1" applyFont="1" applyBorder="1" applyAlignment="1">
      <alignment vertical="center"/>
    </xf>
    <xf numFmtId="10" fontId="68" fillId="0" borderId="86" xfId="11" applyNumberFormat="1" applyFont="1" applyBorder="1" applyAlignment="1">
      <alignment vertical="center"/>
    </xf>
    <xf numFmtId="10" fontId="68" fillId="0" borderId="86" xfId="11" applyNumberFormat="1" applyFont="1" applyBorder="1" applyAlignment="1">
      <alignment horizontal="center" vertical="center"/>
    </xf>
    <xf numFmtId="0" fontId="16" fillId="0" borderId="69" xfId="35" applyBorder="1" applyAlignment="1">
      <alignment vertical="top"/>
    </xf>
    <xf numFmtId="0" fontId="65" fillId="0" borderId="69" xfId="35" applyFont="1" applyBorder="1" applyAlignment="1">
      <alignment horizontal="center" vertical="top"/>
    </xf>
    <xf numFmtId="0" fontId="67" fillId="0" borderId="69" xfId="35" applyFont="1" applyBorder="1" applyAlignment="1">
      <alignment horizontal="right" vertical="top"/>
    </xf>
    <xf numFmtId="4" fontId="68" fillId="0" borderId="69" xfId="11" applyNumberFormat="1" applyFont="1" applyBorder="1" applyAlignment="1">
      <alignment vertical="top"/>
    </xf>
    <xf numFmtId="10" fontId="68" fillId="0" borderId="71" xfId="11" applyNumberFormat="1" applyFont="1" applyBorder="1" applyAlignment="1">
      <alignment vertical="top"/>
    </xf>
    <xf numFmtId="4" fontId="68" fillId="0" borderId="178" xfId="11" applyNumberFormat="1" applyFont="1" applyBorder="1" applyAlignment="1">
      <alignment vertical="top"/>
    </xf>
    <xf numFmtId="10" fontId="68" fillId="0" borderId="70" xfId="11" applyNumberFormat="1" applyFont="1" applyBorder="1" applyAlignment="1">
      <alignment vertical="top"/>
    </xf>
    <xf numFmtId="4" fontId="3" fillId="0" borderId="57" xfId="21" applyNumberFormat="1" applyFont="1" applyFill="1" applyBorder="1" applyAlignment="1" applyProtection="1">
      <alignment horizontal="right" vertical="top"/>
      <protection locked="0"/>
    </xf>
    <xf numFmtId="4" fontId="3" fillId="0" borderId="40" xfId="21" applyNumberFormat="1" applyFont="1" applyFill="1" applyBorder="1" applyAlignment="1" applyProtection="1">
      <alignment horizontal="right" vertical="top"/>
      <protection locked="0"/>
    </xf>
    <xf numFmtId="4" fontId="3" fillId="0" borderId="98" xfId="21" applyNumberFormat="1" applyFont="1" applyFill="1" applyBorder="1" applyAlignment="1" applyProtection="1">
      <alignment horizontal="right" vertical="top"/>
      <protection locked="0"/>
    </xf>
    <xf numFmtId="4" fontId="3" fillId="0" borderId="100" xfId="21" applyNumberFormat="1" applyFont="1" applyFill="1" applyBorder="1" applyAlignment="1" applyProtection="1">
      <alignment horizontal="right" vertical="top"/>
      <protection locked="0"/>
    </xf>
    <xf numFmtId="10" fontId="3" fillId="0" borderId="31" xfId="21" applyNumberFormat="1" applyFont="1" applyFill="1" applyBorder="1" applyAlignment="1" applyProtection="1">
      <alignment horizontal="right" vertical="top"/>
      <protection locked="0"/>
    </xf>
    <xf numFmtId="0" fontId="140" fillId="0" borderId="57" xfId="21" applyNumberFormat="1" applyFont="1" applyFill="1" applyBorder="1" applyAlignment="1" applyProtection="1">
      <alignment horizontal="left" vertical="top" wrapText="1"/>
      <protection locked="0"/>
    </xf>
    <xf numFmtId="4" fontId="113" fillId="0" borderId="69" xfId="21" applyNumberFormat="1" applyFont="1" applyFill="1" applyBorder="1" applyAlignment="1" applyProtection="1">
      <alignment horizontal="right" vertical="top"/>
      <protection locked="0"/>
    </xf>
    <xf numFmtId="10" fontId="113" fillId="0" borderId="69" xfId="21" applyNumberFormat="1" applyFont="1" applyFill="1" applyBorder="1" applyAlignment="1" applyProtection="1">
      <alignment horizontal="right" vertical="top"/>
      <protection locked="0"/>
    </xf>
    <xf numFmtId="10" fontId="122" fillId="0" borderId="18" xfId="21" applyNumberFormat="1" applyFont="1" applyFill="1" applyBorder="1" applyAlignment="1" applyProtection="1">
      <alignment horizontal="right" vertical="top" wrapText="1"/>
      <protection locked="0"/>
    </xf>
    <xf numFmtId="10" fontId="96" fillId="0" borderId="179" xfId="23" applyNumberFormat="1" applyFont="1" applyBorder="1"/>
    <xf numFmtId="10" fontId="96" fillId="0" borderId="57" xfId="23" applyNumberFormat="1" applyFont="1" applyBorder="1"/>
    <xf numFmtId="10" fontId="96" fillId="0" borderId="57" xfId="23" applyNumberFormat="1" applyFont="1" applyBorder="1" applyAlignment="1">
      <alignment vertical="top"/>
    </xf>
    <xf numFmtId="10" fontId="96" fillId="0" borderId="179" xfId="23" applyNumberFormat="1" applyFont="1" applyBorder="1" applyAlignment="1">
      <alignment vertical="top"/>
    </xf>
    <xf numFmtId="10" fontId="96" fillId="0" borderId="57" xfId="23" applyNumberFormat="1" applyFont="1" applyBorder="1" applyAlignment="1">
      <alignment vertical="center"/>
    </xf>
    <xf numFmtId="10" fontId="96" fillId="0" borderId="179" xfId="23" applyNumberFormat="1" applyFont="1" applyBorder="1" applyAlignment="1">
      <alignment vertical="center"/>
    </xf>
    <xf numFmtId="4" fontId="31" fillId="0" borderId="0" xfId="31" applyNumberFormat="1" applyFont="1" applyBorder="1" applyAlignment="1">
      <alignment vertical="top"/>
    </xf>
    <xf numFmtId="0" fontId="50" fillId="0" borderId="141" xfId="41" applyFont="1" applyBorder="1" applyAlignment="1">
      <alignment horizontal="center" vertical="center"/>
    </xf>
    <xf numFmtId="0" fontId="12" fillId="0" borderId="111" xfId="41" applyFont="1" applyBorder="1" applyAlignment="1">
      <alignment vertical="center"/>
    </xf>
    <xf numFmtId="0" fontId="95" fillId="0" borderId="111" xfId="41" applyFont="1" applyBorder="1" applyAlignment="1">
      <alignment vertical="center" wrapText="1"/>
    </xf>
    <xf numFmtId="0" fontId="106" fillId="0" borderId="111" xfId="41" applyFont="1" applyBorder="1" applyAlignment="1">
      <alignment vertical="center" wrapText="1"/>
    </xf>
    <xf numFmtId="0" fontId="96" fillId="0" borderId="111" xfId="41" applyFont="1" applyBorder="1" applyAlignment="1">
      <alignment vertical="center" wrapText="1"/>
    </xf>
    <xf numFmtId="170" fontId="96" fillId="0" borderId="30" xfId="41" applyNumberFormat="1" applyFont="1" applyBorder="1" applyAlignment="1">
      <alignment horizontal="center" vertical="center" wrapText="1"/>
    </xf>
    <xf numFmtId="170" fontId="39" fillId="0" borderId="30" xfId="41" applyNumberFormat="1" applyFont="1" applyBorder="1" applyAlignment="1">
      <alignment horizontal="center" vertical="center" wrapText="1"/>
    </xf>
    <xf numFmtId="167" fontId="96" fillId="0" borderId="30" xfId="41" applyNumberFormat="1" applyFont="1" applyBorder="1" applyAlignment="1">
      <alignment horizontal="right" vertical="center" wrapText="1"/>
    </xf>
    <xf numFmtId="170" fontId="45" fillId="0" borderId="30" xfId="41" applyNumberFormat="1" applyFont="1" applyBorder="1" applyAlignment="1">
      <alignment horizontal="right" vertical="center" wrapText="1"/>
    </xf>
    <xf numFmtId="170" fontId="39" fillId="0" borderId="30" xfId="41" applyNumberFormat="1" applyFont="1" applyBorder="1" applyAlignment="1">
      <alignment horizontal="right" vertical="center" wrapText="1"/>
    </xf>
    <xf numFmtId="170" fontId="96" fillId="0" borderId="30" xfId="41" applyNumberFormat="1" applyFont="1" applyBorder="1" applyAlignment="1">
      <alignment horizontal="right" vertical="center" wrapText="1"/>
    </xf>
    <xf numFmtId="170" fontId="95" fillId="0" borderId="30" xfId="41" applyNumberFormat="1" applyFont="1" applyBorder="1" applyAlignment="1">
      <alignment horizontal="right" vertical="center" wrapText="1"/>
    </xf>
    <xf numFmtId="170" fontId="39" fillId="0" borderId="51" xfId="41" applyNumberFormat="1" applyFont="1" applyBorder="1" applyAlignment="1">
      <alignment horizontal="center" vertical="center" wrapText="1"/>
    </xf>
    <xf numFmtId="170" fontId="39" fillId="0" borderId="47" xfId="41" applyNumberFormat="1" applyFont="1" applyBorder="1" applyAlignment="1">
      <alignment horizontal="center" vertical="center" wrapText="1"/>
    </xf>
    <xf numFmtId="170" fontId="39" fillId="0" borderId="3" xfId="41" applyNumberFormat="1" applyFont="1" applyBorder="1" applyAlignment="1">
      <alignment horizontal="center" vertical="center" wrapText="1"/>
    </xf>
    <xf numFmtId="167" fontId="39" fillId="0" borderId="30" xfId="41" applyNumberFormat="1" applyFont="1" applyBorder="1" applyAlignment="1">
      <alignment horizontal="right" vertical="center" wrapText="1"/>
    </xf>
    <xf numFmtId="4" fontId="39" fillId="0" borderId="30" xfId="41" applyNumberFormat="1" applyFont="1" applyBorder="1" applyAlignment="1">
      <alignment horizontal="center" vertical="center" wrapText="1"/>
    </xf>
    <xf numFmtId="4" fontId="50" fillId="0" borderId="30" xfId="41" applyNumberFormat="1" applyFont="1" applyBorder="1" applyAlignment="1">
      <alignment horizontal="center" vertical="center" wrapText="1"/>
    </xf>
    <xf numFmtId="4" fontId="50" fillId="0" borderId="30" xfId="41" applyNumberFormat="1" applyFont="1" applyBorder="1" applyAlignment="1">
      <alignment horizontal="right" vertical="center" wrapText="1"/>
    </xf>
    <xf numFmtId="4" fontId="50" fillId="0" borderId="47" xfId="41" applyNumberFormat="1" applyFont="1" applyBorder="1" applyAlignment="1">
      <alignment horizontal="center" vertical="center" wrapText="1"/>
    </xf>
    <xf numFmtId="4" fontId="50" fillId="0" borderId="47" xfId="41" applyNumberFormat="1" applyFont="1" applyBorder="1" applyAlignment="1">
      <alignment horizontal="right" vertical="center" wrapText="1"/>
    </xf>
    <xf numFmtId="43" fontId="50" fillId="0" borderId="0" xfId="41" applyNumberFormat="1" applyFont="1"/>
    <xf numFmtId="4" fontId="39" fillId="0" borderId="30" xfId="41" applyNumberFormat="1" applyFont="1" applyBorder="1" applyAlignment="1">
      <alignment horizontal="right" vertical="center" wrapText="1"/>
    </xf>
    <xf numFmtId="43" fontId="23" fillId="0" borderId="0" xfId="41" applyNumberFormat="1" applyFont="1"/>
    <xf numFmtId="43" fontId="40" fillId="0" borderId="0" xfId="41" applyNumberFormat="1" applyFont="1"/>
    <xf numFmtId="0" fontId="23" fillId="0" borderId="0" xfId="41" applyFont="1"/>
    <xf numFmtId="10" fontId="45" fillId="0" borderId="30" xfId="41" applyNumberFormat="1" applyFont="1" applyBorder="1" applyAlignment="1">
      <alignment horizontal="center" vertical="center" wrapText="1"/>
    </xf>
    <xf numFmtId="10" fontId="96" fillId="0" borderId="30" xfId="41" applyNumberFormat="1" applyFont="1" applyBorder="1" applyAlignment="1">
      <alignment horizontal="center" vertical="center" wrapText="1"/>
    </xf>
    <xf numFmtId="10" fontId="95" fillId="0" borderId="30" xfId="41" applyNumberFormat="1" applyFont="1" applyBorder="1" applyAlignment="1">
      <alignment horizontal="right" vertical="center" wrapText="1"/>
    </xf>
    <xf numFmtId="10" fontId="39" fillId="0" borderId="51" xfId="41" applyNumberFormat="1" applyFont="1" applyBorder="1" applyAlignment="1">
      <alignment horizontal="center" vertical="center" wrapText="1"/>
    </xf>
    <xf numFmtId="10" fontId="95" fillId="0" borderId="30" xfId="41" applyNumberFormat="1" applyFont="1" applyBorder="1" applyAlignment="1">
      <alignment horizontal="center" vertical="center" wrapText="1"/>
    </xf>
    <xf numFmtId="10" fontId="96" fillId="0" borderId="47" xfId="41" applyNumberFormat="1" applyFont="1" applyBorder="1" applyAlignment="1">
      <alignment horizontal="center" vertical="center" wrapText="1"/>
    </xf>
    <xf numFmtId="10" fontId="39" fillId="0" borderId="47" xfId="41" applyNumberFormat="1" applyFont="1" applyBorder="1" applyAlignment="1">
      <alignment horizontal="center" vertical="center" wrapText="1"/>
    </xf>
    <xf numFmtId="10" fontId="39" fillId="0" borderId="141" xfId="41" applyNumberFormat="1" applyFont="1" applyBorder="1" applyAlignment="1">
      <alignment horizontal="center" vertical="center" wrapText="1"/>
    </xf>
    <xf numFmtId="10" fontId="50" fillId="0" borderId="30" xfId="41" applyNumberFormat="1" applyFont="1" applyBorder="1" applyAlignment="1">
      <alignment horizontal="center" vertical="center" wrapText="1"/>
    </xf>
    <xf numFmtId="10" fontId="50" fillId="0" borderId="47" xfId="41" applyNumberFormat="1" applyFont="1" applyBorder="1" applyAlignment="1">
      <alignment horizontal="center" vertical="center" wrapText="1"/>
    </xf>
    <xf numFmtId="10" fontId="96" fillId="0" borderId="30" xfId="41" applyNumberFormat="1" applyFont="1" applyBorder="1" applyAlignment="1">
      <alignment horizontal="right" vertical="center" wrapText="1"/>
    </xf>
    <xf numFmtId="0" fontId="141" fillId="0" borderId="41" xfId="11" applyFont="1" applyBorder="1" applyAlignment="1">
      <alignment vertical="center" wrapText="1"/>
    </xf>
    <xf numFmtId="0" fontId="141" fillId="0" borderId="41" xfId="11" applyFont="1" applyBorder="1" applyAlignment="1">
      <alignment vertical="top" wrapText="1"/>
    </xf>
    <xf numFmtId="0" fontId="141" fillId="0" borderId="48" xfId="11" applyFont="1" applyBorder="1" applyAlignment="1">
      <alignment vertical="top" wrapText="1"/>
    </xf>
    <xf numFmtId="10" fontId="144" fillId="0" borderId="30" xfId="41" applyNumberFormat="1" applyFont="1" applyBorder="1" applyAlignment="1">
      <alignment horizontal="center" vertical="center" wrapText="1"/>
    </xf>
    <xf numFmtId="10" fontId="39" fillId="0" borderId="30" xfId="41" applyNumberFormat="1" applyFont="1" applyBorder="1" applyAlignment="1">
      <alignment horizontal="center" vertical="center" wrapText="1"/>
    </xf>
    <xf numFmtId="0" fontId="39" fillId="0" borderId="2" xfId="41" applyFont="1" applyBorder="1" applyAlignment="1">
      <alignment vertical="center" wrapText="1"/>
    </xf>
    <xf numFmtId="0" fontId="40" fillId="0" borderId="8" xfId="41" applyFont="1" applyBorder="1" applyAlignment="1">
      <alignment vertical="center"/>
    </xf>
    <xf numFmtId="0" fontId="40" fillId="0" borderId="28" xfId="41" applyFont="1" applyBorder="1" applyAlignment="1">
      <alignment vertical="center"/>
    </xf>
    <xf numFmtId="49" fontId="10" fillId="2" borderId="173" xfId="1" quotePrefix="1" applyNumberFormat="1" applyFont="1" applyFill="1" applyBorder="1" applyAlignment="1" applyProtection="1">
      <alignment horizontal="center" vertical="center" wrapText="1"/>
      <protection locked="0"/>
    </xf>
    <xf numFmtId="49" fontId="10" fillId="2" borderId="160" xfId="1" applyNumberFormat="1" applyFont="1" applyFill="1" applyBorder="1" applyAlignment="1" applyProtection="1">
      <alignment horizontal="left" vertical="center" wrapText="1"/>
      <protection locked="0"/>
    </xf>
    <xf numFmtId="4" fontId="123" fillId="2" borderId="179" xfId="1" applyNumberFormat="1" applyFont="1" applyFill="1" applyBorder="1" applyAlignment="1" applyProtection="1">
      <alignment horizontal="right" vertical="center" wrapText="1"/>
      <protection locked="0"/>
    </xf>
    <xf numFmtId="4" fontId="123" fillId="2" borderId="181" xfId="1" applyNumberFormat="1" applyFont="1" applyFill="1" applyBorder="1" applyAlignment="1" applyProtection="1">
      <alignment horizontal="right" vertical="center" wrapText="1"/>
      <protection locked="0"/>
    </xf>
    <xf numFmtId="10" fontId="123" fillId="0" borderId="32" xfId="1" applyNumberFormat="1" applyFont="1" applyFill="1" applyBorder="1" applyAlignment="1" applyProtection="1">
      <alignment horizontal="right" vertical="center"/>
      <protection locked="0"/>
    </xf>
    <xf numFmtId="4" fontId="123" fillId="0" borderId="179" xfId="1" applyNumberFormat="1" applyFont="1" applyFill="1" applyBorder="1" applyAlignment="1" applyProtection="1">
      <alignment horizontal="right" vertical="center"/>
      <protection locked="0"/>
    </xf>
    <xf numFmtId="4" fontId="44" fillId="0" borderId="176" xfId="33" applyNumberFormat="1" applyFont="1" applyBorder="1" applyAlignment="1">
      <alignment horizontal="right" vertical="center" wrapText="1"/>
    </xf>
    <xf numFmtId="49" fontId="6" fillId="2" borderId="54" xfId="1" applyNumberFormat="1" applyFont="1" applyFill="1" applyBorder="1" applyAlignment="1" applyProtection="1">
      <alignment horizontal="right" vertical="center" wrapText="1"/>
      <protection locked="0"/>
    </xf>
    <xf numFmtId="49" fontId="7" fillId="2" borderId="18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158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102" xfId="1" applyNumberFormat="1" applyFont="1" applyFill="1" applyBorder="1" applyAlignment="1" applyProtection="1">
      <alignment horizontal="center" vertical="center" wrapText="1"/>
      <protection locked="0"/>
    </xf>
    <xf numFmtId="0" fontId="118" fillId="0" borderId="159" xfId="1" applyNumberFormat="1" applyFont="1" applyFill="1" applyBorder="1" applyAlignment="1" applyProtection="1">
      <alignment horizontal="center" vertical="center" wrapText="1"/>
      <protection locked="0"/>
    </xf>
    <xf numFmtId="0" fontId="118" fillId="0" borderId="32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42" xfId="1" applyNumberFormat="1" applyFont="1" applyFill="1" applyBorder="1" applyAlignment="1" applyProtection="1">
      <alignment horizontal="center" vertical="center"/>
      <protection locked="0"/>
    </xf>
    <xf numFmtId="0" fontId="6" fillId="0" borderId="24" xfId="1" applyNumberFormat="1" applyFont="1" applyFill="1" applyBorder="1" applyAlignment="1" applyProtection="1">
      <alignment horizontal="center" vertical="center"/>
      <protection locked="0"/>
    </xf>
    <xf numFmtId="0" fontId="6" fillId="0" borderId="60" xfId="1" applyNumberFormat="1" applyFont="1" applyFill="1" applyBorder="1" applyAlignment="1" applyProtection="1">
      <alignment horizontal="center" vertical="center"/>
      <protection locked="0"/>
    </xf>
    <xf numFmtId="0" fontId="7" fillId="0" borderId="0" xfId="1" applyNumberFormat="1" applyFont="1" applyFill="1" applyBorder="1" applyAlignment="1" applyProtection="1">
      <alignment horizontal="center"/>
      <protection locked="0"/>
    </xf>
    <xf numFmtId="0" fontId="4" fillId="0" borderId="22" xfId="1" applyNumberFormat="1" applyFont="1" applyFill="1" applyBorder="1" applyAlignment="1" applyProtection="1">
      <alignment horizontal="center" vertical="top" wrapText="1"/>
      <protection locked="0"/>
    </xf>
    <xf numFmtId="0" fontId="4" fillId="0" borderId="22" xfId="1" applyNumberFormat="1" applyFont="1" applyFill="1" applyBorder="1" applyAlignment="1" applyProtection="1">
      <alignment horizontal="center" vertical="top"/>
      <protection locked="0"/>
    </xf>
    <xf numFmtId="49" fontId="7" fillId="2" borderId="42" xfId="1" applyNumberFormat="1" applyFont="1" applyFill="1" applyBorder="1" applyAlignment="1" applyProtection="1">
      <alignment horizontal="center" vertical="center" wrapText="1"/>
      <protection locked="0"/>
    </xf>
    <xf numFmtId="49" fontId="7" fillId="2" borderId="97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1" applyNumberFormat="1" applyFont="1" applyFill="1" applyBorder="1" applyAlignment="1" applyProtection="1">
      <alignment horizontal="left" vertical="top"/>
      <protection locked="0"/>
    </xf>
    <xf numFmtId="49" fontId="22" fillId="2" borderId="54" xfId="21" applyNumberFormat="1" applyFont="1" applyFill="1" applyBorder="1" applyAlignment="1" applyProtection="1">
      <alignment horizontal="right" vertical="center" wrapText="1"/>
      <protection locked="0"/>
    </xf>
    <xf numFmtId="0" fontId="4" fillId="0" borderId="0" xfId="1" applyNumberFormat="1" applyFont="1" applyFill="1" applyBorder="1" applyAlignment="1" applyProtection="1">
      <alignment horizontal="center" vertical="top" wrapText="1"/>
      <protection locked="0"/>
    </xf>
    <xf numFmtId="4" fontId="25" fillId="14" borderId="139" xfId="33" applyNumberFormat="1" applyFont="1" applyFill="1" applyBorder="1" applyAlignment="1">
      <alignment horizontal="center" vertical="center"/>
    </xf>
    <xf numFmtId="0" fontId="23" fillId="0" borderId="0" xfId="33" applyFont="1" applyAlignment="1">
      <alignment horizontal="right"/>
    </xf>
    <xf numFmtId="0" fontId="25" fillId="0" borderId="0" xfId="33" applyFont="1" applyBorder="1" applyAlignment="1">
      <alignment horizontal="center"/>
    </xf>
    <xf numFmtId="0" fontId="25" fillId="0" borderId="0" xfId="33" applyFont="1" applyBorder="1" applyAlignment="1">
      <alignment horizontal="center" wrapText="1"/>
    </xf>
    <xf numFmtId="0" fontId="25" fillId="0" borderId="0" xfId="33" applyFont="1" applyBorder="1" applyAlignment="1">
      <alignment horizontal="center" vertical="center"/>
    </xf>
    <xf numFmtId="0" fontId="16" fillId="0" borderId="58" xfId="33" applyFont="1" applyBorder="1" applyAlignment="1">
      <alignment horizontal="center" vertical="center" wrapText="1"/>
    </xf>
    <xf numFmtId="0" fontId="16" fillId="0" borderId="115" xfId="33" applyFont="1" applyBorder="1" applyAlignment="1">
      <alignment horizontal="center" vertical="center" wrapText="1"/>
    </xf>
    <xf numFmtId="0" fontId="27" fillId="0" borderId="18" xfId="33" applyFont="1" applyBorder="1" applyAlignment="1">
      <alignment horizontal="center" vertical="center" wrapText="1"/>
    </xf>
    <xf numFmtId="0" fontId="72" fillId="0" borderId="18" xfId="33" applyFont="1" applyBorder="1" applyAlignment="1">
      <alignment horizontal="center" vertical="center"/>
    </xf>
    <xf numFmtId="0" fontId="72" fillId="0" borderId="133" xfId="33" applyFont="1" applyBorder="1" applyAlignment="1">
      <alignment horizontal="center" vertical="center"/>
    </xf>
    <xf numFmtId="0" fontId="72" fillId="0" borderId="57" xfId="33" applyFont="1" applyBorder="1" applyAlignment="1">
      <alignment horizontal="center" vertical="center"/>
    </xf>
    <xf numFmtId="0" fontId="72" fillId="0" borderId="58" xfId="33" applyFont="1" applyBorder="1" applyAlignment="1">
      <alignment horizontal="center" vertical="center"/>
    </xf>
    <xf numFmtId="0" fontId="23" fillId="0" borderId="0" xfId="33" applyFont="1" applyBorder="1" applyAlignment="1">
      <alignment horizontal="left" vertical="top" wrapText="1"/>
    </xf>
    <xf numFmtId="0" fontId="30" fillId="0" borderId="18" xfId="34" applyFont="1" applyBorder="1" applyAlignment="1">
      <alignment horizontal="left" vertical="top" wrapText="1"/>
    </xf>
    <xf numFmtId="0" fontId="30" fillId="0" borderId="2" xfId="34" applyFont="1" applyBorder="1" applyAlignment="1">
      <alignment horizontal="left" vertical="center" wrapText="1"/>
    </xf>
    <xf numFmtId="0" fontId="30" fillId="0" borderId="11" xfId="34" applyFont="1" applyBorder="1" applyAlignment="1">
      <alignment horizontal="left" vertical="center" wrapText="1"/>
    </xf>
    <xf numFmtId="0" fontId="25" fillId="0" borderId="4" xfId="34" applyFont="1" applyBorder="1" applyAlignment="1">
      <alignment horizontal="right" vertical="center"/>
    </xf>
    <xf numFmtId="0" fontId="25" fillId="0" borderId="88" xfId="34" applyFont="1" applyBorder="1" applyAlignment="1">
      <alignment horizontal="right" vertical="center"/>
    </xf>
    <xf numFmtId="0" fontId="29" fillId="0" borderId="128" xfId="34" applyFont="1" applyBorder="1" applyAlignment="1">
      <alignment horizontal="center"/>
    </xf>
    <xf numFmtId="0" fontId="29" fillId="0" borderId="129" xfId="34" applyFont="1" applyBorder="1" applyAlignment="1">
      <alignment horizontal="center"/>
    </xf>
    <xf numFmtId="0" fontId="23" fillId="0" borderId="0" xfId="34" applyFont="1" applyAlignment="1">
      <alignment horizontal="left"/>
    </xf>
    <xf numFmtId="0" fontId="25" fillId="0" borderId="0" xfId="34" applyFont="1" applyBorder="1" applyAlignment="1">
      <alignment horizontal="center" vertical="center" wrapText="1"/>
    </xf>
    <xf numFmtId="0" fontId="116" fillId="0" borderId="117" xfId="34" applyFont="1" applyBorder="1" applyAlignment="1">
      <alignment horizontal="center" vertical="center" wrapText="1"/>
    </xf>
    <xf numFmtId="0" fontId="116" fillId="0" borderId="37" xfId="34" applyFont="1" applyBorder="1" applyAlignment="1">
      <alignment horizontal="center" vertical="center" wrapText="1"/>
    </xf>
    <xf numFmtId="0" fontId="117" fillId="0" borderId="116" xfId="34" applyFont="1" applyBorder="1" applyAlignment="1">
      <alignment horizontal="center" vertical="center" wrapText="1"/>
    </xf>
    <xf numFmtId="0" fontId="117" fillId="0" borderId="119" xfId="34" applyFont="1" applyBorder="1" applyAlignment="1">
      <alignment horizontal="center" vertical="center" wrapText="1"/>
    </xf>
    <xf numFmtId="49" fontId="24" fillId="0" borderId="1" xfId="34" applyNumberFormat="1" applyFont="1" applyBorder="1" applyAlignment="1">
      <alignment horizontal="center"/>
    </xf>
    <xf numFmtId="49" fontId="27" fillId="0" borderId="2" xfId="34" applyNumberFormat="1" applyFont="1" applyBorder="1" applyAlignment="1">
      <alignment horizontal="center" vertical="center"/>
    </xf>
    <xf numFmtId="49" fontId="27" fillId="0" borderId="14" xfId="34" applyNumberFormat="1" applyFont="1" applyBorder="1" applyAlignment="1">
      <alignment horizontal="center" vertical="center"/>
    </xf>
    <xf numFmtId="0" fontId="116" fillId="0" borderId="116" xfId="34" applyFont="1" applyBorder="1" applyAlignment="1">
      <alignment horizontal="center" vertical="center" wrapText="1"/>
    </xf>
    <xf numFmtId="0" fontId="116" fillId="0" borderId="120" xfId="34" applyFont="1" applyBorder="1" applyAlignment="1">
      <alignment horizontal="center" vertical="center" wrapText="1"/>
    </xf>
    <xf numFmtId="43" fontId="57" fillId="0" borderId="64" xfId="35" applyNumberFormat="1" applyFont="1" applyFill="1" applyBorder="1" applyAlignment="1">
      <alignment horizontal="center" vertical="top" wrapText="1"/>
    </xf>
    <xf numFmtId="43" fontId="57" fillId="0" borderId="65" xfId="35" applyNumberFormat="1" applyFont="1" applyFill="1" applyBorder="1" applyAlignment="1">
      <alignment horizontal="center" vertical="top" wrapText="1"/>
    </xf>
    <xf numFmtId="43" fontId="57" fillId="0" borderId="66" xfId="35" applyNumberFormat="1" applyFont="1" applyFill="1" applyBorder="1" applyAlignment="1">
      <alignment horizontal="center" vertical="top" wrapText="1"/>
    </xf>
    <xf numFmtId="0" fontId="57" fillId="0" borderId="63" xfId="35" applyFont="1" applyFill="1" applyBorder="1" applyAlignment="1">
      <alignment horizontal="center" vertical="top" wrapText="1"/>
    </xf>
    <xf numFmtId="0" fontId="57" fillId="0" borderId="15" xfId="35" applyFont="1" applyFill="1" applyBorder="1" applyAlignment="1">
      <alignment horizontal="center" vertical="top" wrapText="1"/>
    </xf>
    <xf numFmtId="0" fontId="27" fillId="0" borderId="171" xfId="35" applyFont="1" applyBorder="1" applyAlignment="1">
      <alignment horizontal="right" vertical="top"/>
    </xf>
    <xf numFmtId="0" fontId="27" fillId="0" borderId="62" xfId="35" applyFont="1" applyBorder="1" applyAlignment="1">
      <alignment horizontal="right" vertical="top"/>
    </xf>
    <xf numFmtId="0" fontId="27" fillId="0" borderId="82" xfId="35" applyFont="1" applyBorder="1" applyAlignment="1">
      <alignment horizontal="right" vertical="top"/>
    </xf>
    <xf numFmtId="0" fontId="58" fillId="0" borderId="29" xfId="35" applyFont="1" applyBorder="1" applyAlignment="1">
      <alignment horizontal="center" vertical="top" wrapText="1"/>
    </xf>
    <xf numFmtId="0" fontId="58" fillId="0" borderId="57" xfId="35" applyFont="1" applyBorder="1" applyAlignment="1">
      <alignment horizontal="center" vertical="top" wrapText="1"/>
    </xf>
    <xf numFmtId="0" fontId="58" fillId="0" borderId="15" xfId="35" applyFont="1" applyBorder="1" applyAlignment="1">
      <alignment horizontal="center" vertical="top" wrapText="1"/>
    </xf>
    <xf numFmtId="0" fontId="16" fillId="0" borderId="29" xfId="35" applyBorder="1" applyAlignment="1">
      <alignment horizontal="center" vertical="top"/>
    </xf>
    <xf numFmtId="0" fontId="16" fillId="0" borderId="57" xfId="35" applyBorder="1" applyAlignment="1">
      <alignment horizontal="center" vertical="top"/>
    </xf>
    <xf numFmtId="0" fontId="16" fillId="0" borderId="15" xfId="35" applyBorder="1" applyAlignment="1">
      <alignment horizontal="center" vertical="top"/>
    </xf>
    <xf numFmtId="0" fontId="61" fillId="0" borderId="84" xfId="35" applyFont="1" applyBorder="1" applyAlignment="1">
      <alignment horizontal="center" vertical="center"/>
    </xf>
    <xf numFmtId="0" fontId="61" fillId="0" borderId="85" xfId="35" applyFont="1" applyBorder="1" applyAlignment="1">
      <alignment horizontal="center" vertical="center"/>
    </xf>
    <xf numFmtId="0" fontId="61" fillId="0" borderId="86" xfId="35" applyFont="1" applyBorder="1" applyAlignment="1">
      <alignment horizontal="center" vertical="center"/>
    </xf>
    <xf numFmtId="0" fontId="57" fillId="0" borderId="57" xfId="35" applyFont="1" applyFill="1" applyBorder="1" applyAlignment="1">
      <alignment horizontal="center" vertical="top" wrapText="1"/>
    </xf>
    <xf numFmtId="0" fontId="23" fillId="0" borderId="0" xfId="34" applyFont="1" applyAlignment="1">
      <alignment horizontal="right"/>
    </xf>
    <xf numFmtId="2" fontId="7" fillId="0" borderId="63" xfId="11" applyNumberFormat="1" applyFont="1" applyBorder="1" applyAlignment="1">
      <alignment horizontal="center" vertical="top"/>
    </xf>
    <xf numFmtId="2" fontId="7" fillId="0" borderId="57" xfId="11" applyNumberFormat="1" applyFont="1" applyBorder="1" applyAlignment="1">
      <alignment horizontal="center" vertical="top"/>
    </xf>
    <xf numFmtId="2" fontId="3" fillId="0" borderId="63" xfId="11" applyNumberFormat="1" applyBorder="1" applyAlignment="1">
      <alignment horizontal="center" vertical="top" wrapText="1"/>
    </xf>
    <xf numFmtId="2" fontId="3" fillId="0" borderId="119" xfId="11" applyNumberFormat="1" applyBorder="1" applyAlignment="1">
      <alignment horizontal="center" vertical="top" wrapText="1"/>
    </xf>
    <xf numFmtId="43" fontId="57" fillId="0" borderId="77" xfId="35" applyNumberFormat="1" applyFont="1" applyFill="1" applyBorder="1" applyAlignment="1">
      <alignment horizontal="center" vertical="top" wrapText="1"/>
    </xf>
    <xf numFmtId="43" fontId="57" fillId="0" borderId="67" xfId="35" applyNumberFormat="1" applyFont="1" applyFill="1" applyBorder="1" applyAlignment="1">
      <alignment horizontal="center" vertical="top" wrapText="1"/>
    </xf>
    <xf numFmtId="43" fontId="57" fillId="0" borderId="77" xfId="35" applyNumberFormat="1" applyFont="1" applyFill="1" applyBorder="1" applyAlignment="1">
      <alignment horizontal="center" vertical="center" wrapText="1"/>
    </xf>
    <xf numFmtId="43" fontId="57" fillId="0" borderId="65" xfId="35" applyNumberFormat="1" applyFont="1" applyFill="1" applyBorder="1" applyAlignment="1">
      <alignment horizontal="center" vertical="center" wrapText="1"/>
    </xf>
    <xf numFmtId="43" fontId="57" fillId="0" borderId="67" xfId="35" applyNumberFormat="1" applyFont="1" applyFill="1" applyBorder="1" applyAlignment="1">
      <alignment horizontal="center" vertical="center" wrapText="1"/>
    </xf>
    <xf numFmtId="0" fontId="3" fillId="0" borderId="63" xfId="11" applyBorder="1" applyAlignment="1">
      <alignment horizontal="center" vertical="center" wrapText="1"/>
    </xf>
    <xf numFmtId="0" fontId="3" fillId="0" borderId="68" xfId="11" applyBorder="1" applyAlignment="1">
      <alignment horizontal="center" vertical="center" wrapText="1"/>
    </xf>
    <xf numFmtId="0" fontId="3" fillId="0" borderId="90" xfId="11" applyBorder="1" applyAlignment="1">
      <alignment horizontal="center" vertical="center" wrapText="1"/>
    </xf>
    <xf numFmtId="0" fontId="3" fillId="0" borderId="69" xfId="11" applyBorder="1" applyAlignment="1">
      <alignment horizontal="center" vertical="center"/>
    </xf>
    <xf numFmtId="0" fontId="3" fillId="0" borderId="63" xfId="11" applyBorder="1" applyAlignment="1">
      <alignment horizontal="center" vertical="top" wrapText="1"/>
    </xf>
    <xf numFmtId="0" fontId="3" fillId="0" borderId="68" xfId="11" applyBorder="1" applyAlignment="1">
      <alignment horizontal="center" vertical="top" wrapText="1"/>
    </xf>
    <xf numFmtId="0" fontId="3" fillId="0" borderId="90" xfId="11" applyBorder="1" applyAlignment="1">
      <alignment horizontal="center" vertical="top" wrapText="1"/>
    </xf>
    <xf numFmtId="0" fontId="3" fillId="0" borderId="69" xfId="11" applyBorder="1" applyAlignment="1">
      <alignment horizontal="center" vertical="top"/>
    </xf>
    <xf numFmtId="0" fontId="56" fillId="0" borderId="62" xfId="35" applyFont="1" applyBorder="1" applyAlignment="1">
      <alignment horizontal="left" vertical="center"/>
    </xf>
    <xf numFmtId="0" fontId="56" fillId="0" borderId="0" xfId="35" applyFont="1" applyBorder="1" applyAlignment="1">
      <alignment horizontal="left" vertical="center"/>
    </xf>
    <xf numFmtId="0" fontId="57" fillId="9" borderId="29" xfId="35" applyFont="1" applyFill="1" applyBorder="1" applyAlignment="1">
      <alignment horizontal="center" vertical="top" wrapText="1"/>
    </xf>
    <xf numFmtId="0" fontId="57" fillId="9" borderId="57" xfId="35" applyFont="1" applyFill="1" applyBorder="1" applyAlignment="1">
      <alignment horizontal="center" vertical="top" wrapText="1"/>
    </xf>
    <xf numFmtId="0" fontId="58" fillId="9" borderId="133" xfId="35" applyFont="1" applyFill="1" applyBorder="1" applyAlignment="1">
      <alignment horizontal="center" vertical="top" wrapText="1"/>
    </xf>
    <xf numFmtId="0" fontId="58" fillId="9" borderId="57" xfId="35" applyFont="1" applyFill="1" applyBorder="1" applyAlignment="1">
      <alignment horizontal="center" vertical="top" wrapText="1"/>
    </xf>
    <xf numFmtId="0" fontId="58" fillId="9" borderId="119" xfId="35" applyFont="1" applyFill="1" applyBorder="1" applyAlignment="1">
      <alignment horizontal="center" vertical="top" wrapText="1"/>
    </xf>
    <xf numFmtId="0" fontId="57" fillId="0" borderId="63" xfId="35" applyFont="1" applyFill="1" applyBorder="1" applyAlignment="1">
      <alignment horizontal="center" vertical="center" wrapText="1"/>
    </xf>
    <xf numFmtId="0" fontId="57" fillId="0" borderId="68" xfId="35" applyFont="1" applyFill="1" applyBorder="1" applyAlignment="1">
      <alignment horizontal="center" vertical="center" wrapText="1"/>
    </xf>
    <xf numFmtId="43" fontId="57" fillId="0" borderId="83" xfId="35" applyNumberFormat="1" applyFont="1" applyFill="1" applyBorder="1" applyAlignment="1">
      <alignment horizontal="center" vertical="top" wrapText="1"/>
    </xf>
    <xf numFmtId="43" fontId="57" fillId="0" borderId="57" xfId="35" applyNumberFormat="1" applyFont="1" applyFill="1" applyBorder="1" applyAlignment="1">
      <alignment horizontal="center" vertical="top" wrapText="1"/>
    </xf>
    <xf numFmtId="0" fontId="56" fillId="0" borderId="0" xfId="35" applyFont="1" applyAlignment="1">
      <alignment horizontal="center" vertical="top" wrapText="1"/>
    </xf>
    <xf numFmtId="0" fontId="60" fillId="0" borderId="29" xfId="35" applyFont="1" applyBorder="1" applyAlignment="1">
      <alignment horizontal="center" vertical="top" wrapText="1"/>
    </xf>
    <xf numFmtId="0" fontId="60" fillId="0" borderId="15" xfId="35" applyFont="1" applyBorder="1" applyAlignment="1">
      <alignment horizontal="center" vertical="top" wrapText="1"/>
    </xf>
    <xf numFmtId="43" fontId="57" fillId="0" borderId="64" xfId="35" applyNumberFormat="1" applyFont="1" applyFill="1" applyBorder="1" applyAlignment="1">
      <alignment horizontal="center" vertical="center" wrapText="1"/>
    </xf>
    <xf numFmtId="43" fontId="57" fillId="0" borderId="66" xfId="35" applyNumberFormat="1" applyFont="1" applyFill="1" applyBorder="1" applyAlignment="1">
      <alignment horizontal="center" vertical="center" wrapText="1"/>
    </xf>
    <xf numFmtId="0" fontId="75" fillId="0" borderId="133" xfId="35" applyFont="1" applyFill="1" applyBorder="1" applyAlignment="1">
      <alignment horizontal="center" vertical="center" wrapText="1"/>
    </xf>
    <xf numFmtId="0" fontId="75" fillId="0" borderId="57" xfId="35" applyFont="1" applyFill="1" applyBorder="1" applyAlignment="1">
      <alignment horizontal="center" vertical="center" wrapText="1"/>
    </xf>
    <xf numFmtId="0" fontId="75" fillId="0" borderId="15" xfId="35" applyFont="1" applyFill="1" applyBorder="1" applyAlignment="1">
      <alignment horizontal="center" vertical="center" wrapText="1"/>
    </xf>
    <xf numFmtId="0" fontId="103" fillId="0" borderId="0" xfId="0" applyFont="1" applyAlignment="1">
      <alignment horizontal="left"/>
    </xf>
    <xf numFmtId="0" fontId="76" fillId="0" borderId="0" xfId="0" applyFont="1" applyAlignment="1">
      <alignment horizontal="center" vertical="center"/>
    </xf>
    <xf numFmtId="0" fontId="2" fillId="0" borderId="18" xfId="0" applyFont="1" applyBorder="1" applyAlignment="1">
      <alignment horizontal="right" vertical="center"/>
    </xf>
    <xf numFmtId="0" fontId="0" fillId="0" borderId="24" xfId="0" applyBorder="1" applyAlignment="1">
      <alignment horizontal="center"/>
    </xf>
    <xf numFmtId="0" fontId="0" fillId="0" borderId="60" xfId="0" applyBorder="1" applyAlignment="1">
      <alignment horizontal="center"/>
    </xf>
    <xf numFmtId="43" fontId="57" fillId="0" borderId="18" xfId="35" applyNumberFormat="1" applyFont="1" applyFill="1" applyBorder="1" applyAlignment="1">
      <alignment horizontal="center" vertical="center" wrapText="1"/>
    </xf>
    <xf numFmtId="10" fontId="119" fillId="0" borderId="75" xfId="35" applyNumberFormat="1" applyFont="1" applyFill="1" applyBorder="1" applyAlignment="1">
      <alignment horizontal="center" vertical="center" wrapText="1"/>
    </xf>
    <xf numFmtId="0" fontId="57" fillId="0" borderId="18" xfId="35" applyFont="1" applyFill="1" applyBorder="1" applyAlignment="1">
      <alignment horizontal="center" vertical="center" wrapText="1"/>
    </xf>
    <xf numFmtId="0" fontId="57" fillId="0" borderId="24" xfId="35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0" fontId="0" fillId="0" borderId="75" xfId="0" applyBorder="1" applyAlignment="1">
      <alignment horizontal="center"/>
    </xf>
    <xf numFmtId="0" fontId="57" fillId="9" borderId="29" xfId="35" applyFont="1" applyFill="1" applyBorder="1" applyAlignment="1">
      <alignment horizontal="center" vertical="center" wrapText="1"/>
    </xf>
    <xf numFmtId="0" fontId="57" fillId="9" borderId="17" xfId="35" applyFont="1" applyFill="1" applyBorder="1" applyAlignment="1">
      <alignment horizontal="center" vertical="center" wrapText="1"/>
    </xf>
    <xf numFmtId="0" fontId="56" fillId="0" borderId="0" xfId="35" applyFont="1" applyAlignment="1">
      <alignment horizontal="center" wrapText="1"/>
    </xf>
    <xf numFmtId="0" fontId="16" fillId="0" borderId="0" xfId="35" applyAlignment="1">
      <alignment horizontal="center"/>
    </xf>
    <xf numFmtId="0" fontId="56" fillId="0" borderId="62" xfId="35" applyFont="1" applyBorder="1" applyAlignment="1">
      <alignment horizontal="center"/>
    </xf>
    <xf numFmtId="0" fontId="34" fillId="0" borderId="135" xfId="33" applyFont="1" applyBorder="1" applyAlignment="1">
      <alignment horizontal="center" vertical="top" wrapText="1"/>
    </xf>
    <xf numFmtId="0" fontId="34" fillId="0" borderId="180" xfId="33" applyFont="1" applyBorder="1" applyAlignment="1">
      <alignment horizontal="center" vertical="top" wrapText="1"/>
    </xf>
    <xf numFmtId="0" fontId="38" fillId="0" borderId="53" xfId="33" applyFont="1" applyBorder="1" applyAlignment="1">
      <alignment horizontal="left" vertical="center" wrapText="1"/>
    </xf>
    <xf numFmtId="0" fontId="41" fillId="0" borderId="55" xfId="33" applyFont="1" applyBorder="1" applyAlignment="1">
      <alignment horizontal="left" vertical="center" wrapText="1"/>
    </xf>
    <xf numFmtId="0" fontId="38" fillId="0" borderId="135" xfId="33" applyFont="1" applyBorder="1" applyAlignment="1">
      <alignment horizontal="center" vertical="center"/>
    </xf>
    <xf numFmtId="0" fontId="38" fillId="0" borderId="153" xfId="33" applyFont="1" applyBorder="1" applyAlignment="1">
      <alignment horizontal="center" vertical="center"/>
    </xf>
    <xf numFmtId="0" fontId="38" fillId="0" borderId="48" xfId="33" applyFont="1" applyBorder="1" applyAlignment="1">
      <alignment horizontal="center" vertical="center"/>
    </xf>
    <xf numFmtId="0" fontId="40" fillId="0" borderId="26" xfId="33" applyFont="1" applyBorder="1" applyAlignment="1">
      <alignment horizontal="right" vertical="center"/>
    </xf>
    <xf numFmtId="0" fontId="40" fillId="0" borderId="18" xfId="33" applyFont="1" applyBorder="1" applyAlignment="1">
      <alignment horizontal="right" vertical="center"/>
    </xf>
    <xf numFmtId="0" fontId="38" fillId="0" borderId="35" xfId="33" applyFont="1" applyBorder="1" applyAlignment="1">
      <alignment horizontal="left" vertical="center"/>
    </xf>
    <xf numFmtId="0" fontId="41" fillId="0" borderId="135" xfId="33" applyFont="1" applyBorder="1" applyAlignment="1">
      <alignment horizontal="center"/>
    </xf>
    <xf numFmtId="0" fontId="41" fillId="0" borderId="48" xfId="33" applyFont="1" applyBorder="1" applyAlignment="1">
      <alignment horizontal="center"/>
    </xf>
    <xf numFmtId="0" fontId="41" fillId="0" borderId="153" xfId="33" applyFont="1" applyBorder="1" applyAlignment="1">
      <alignment horizontal="center"/>
    </xf>
    <xf numFmtId="0" fontId="41" fillId="0" borderId="44" xfId="33" applyFont="1" applyBorder="1" applyAlignment="1">
      <alignment horizontal="center"/>
    </xf>
    <xf numFmtId="0" fontId="46" fillId="10" borderId="131" xfId="33" applyFont="1" applyFill="1" applyBorder="1" applyAlignment="1">
      <alignment horizontal="center" vertical="top" wrapText="1"/>
    </xf>
    <xf numFmtId="0" fontId="46" fillId="10" borderId="142" xfId="33" applyFont="1" applyFill="1" applyBorder="1" applyAlignment="1">
      <alignment horizontal="center" vertical="top" wrapText="1"/>
    </xf>
    <xf numFmtId="0" fontId="76" fillId="0" borderId="49" xfId="33" applyFont="1" applyBorder="1" applyAlignment="1">
      <alignment horizontal="center" vertical="center"/>
    </xf>
    <xf numFmtId="0" fontId="38" fillId="0" borderId="114" xfId="33" applyFont="1" applyBorder="1" applyAlignment="1">
      <alignment horizontal="right" vertical="center" wrapText="1"/>
    </xf>
    <xf numFmtId="0" fontId="38" fillId="0" borderId="53" xfId="33" applyFont="1" applyBorder="1" applyAlignment="1">
      <alignment horizontal="right" vertical="center" wrapText="1"/>
    </xf>
    <xf numFmtId="0" fontId="41" fillId="0" borderId="37" xfId="33" applyFont="1" applyFill="1" applyBorder="1" applyAlignment="1">
      <alignment horizontal="left" vertical="center" wrapText="1"/>
    </xf>
    <xf numFmtId="0" fontId="34" fillId="0" borderId="143" xfId="33" applyFont="1" applyFill="1" applyBorder="1" applyAlignment="1">
      <alignment horizontal="left" vertical="top" wrapText="1"/>
    </xf>
    <xf numFmtId="0" fontId="34" fillId="0" borderId="11" xfId="33" applyFont="1" applyFill="1" applyBorder="1" applyAlignment="1">
      <alignment horizontal="left" vertical="top" wrapText="1"/>
    </xf>
    <xf numFmtId="0" fontId="41" fillId="0" borderId="146" xfId="33" applyFont="1" applyFill="1" applyBorder="1" applyAlignment="1">
      <alignment horizontal="center" vertical="center" wrapText="1"/>
    </xf>
    <xf numFmtId="0" fontId="41" fillId="0" borderId="106" xfId="33" applyFont="1" applyFill="1" applyBorder="1" applyAlignment="1">
      <alignment horizontal="center" vertical="center" wrapText="1"/>
    </xf>
    <xf numFmtId="0" fontId="40" fillId="9" borderId="146" xfId="33" applyFont="1" applyFill="1" applyBorder="1" applyAlignment="1">
      <alignment horizontal="center" vertical="center" wrapText="1"/>
    </xf>
    <xf numFmtId="0" fontId="40" fillId="9" borderId="106" xfId="33" applyFont="1" applyFill="1" applyBorder="1" applyAlignment="1">
      <alignment horizontal="center" vertical="center" wrapText="1"/>
    </xf>
    <xf numFmtId="0" fontId="40" fillId="9" borderId="43" xfId="33" applyFont="1" applyFill="1" applyBorder="1" applyAlignment="1">
      <alignment horizontal="center" vertical="center" wrapText="1"/>
    </xf>
    <xf numFmtId="0" fontId="34" fillId="9" borderId="133" xfId="33" applyFont="1" applyFill="1" applyBorder="1" applyAlignment="1">
      <alignment horizontal="center" vertical="center" wrapText="1"/>
    </xf>
    <xf numFmtId="0" fontId="34" fillId="9" borderId="57" xfId="33" applyFont="1" applyFill="1" applyBorder="1" applyAlignment="1">
      <alignment horizontal="center" vertical="center" wrapText="1"/>
    </xf>
    <xf numFmtId="0" fontId="34" fillId="9" borderId="15" xfId="33" applyFont="1" applyFill="1" applyBorder="1" applyAlignment="1">
      <alignment horizontal="center" vertical="center" wrapText="1"/>
    </xf>
    <xf numFmtId="0" fontId="40" fillId="0" borderId="42" xfId="33" applyFont="1" applyBorder="1" applyAlignment="1">
      <alignment horizontal="right"/>
    </xf>
    <xf numFmtId="0" fontId="40" fillId="0" borderId="24" xfId="33" applyFont="1" applyBorder="1" applyAlignment="1">
      <alignment horizontal="right"/>
    </xf>
    <xf numFmtId="0" fontId="40" fillId="0" borderId="60" xfId="33" applyFont="1" applyBorder="1" applyAlignment="1">
      <alignment horizontal="right"/>
    </xf>
    <xf numFmtId="0" fontId="23" fillId="0" borderId="0" xfId="34" applyFont="1" applyAlignment="1">
      <alignment vertical="top" wrapText="1"/>
    </xf>
    <xf numFmtId="0" fontId="102" fillId="0" borderId="0" xfId="33" applyFont="1" applyBorder="1" applyAlignment="1">
      <alignment horizontal="center" vertical="center"/>
    </xf>
    <xf numFmtId="0" fontId="42" fillId="0" borderId="37" xfId="33" applyFont="1" applyBorder="1" applyAlignment="1">
      <alignment horizontal="left" vertical="center" wrapText="1"/>
    </xf>
    <xf numFmtId="0" fontId="34" fillId="0" borderId="143" xfId="33" applyFont="1" applyFill="1" applyBorder="1" applyAlignment="1">
      <alignment horizontal="center" vertical="top" wrapText="1"/>
    </xf>
    <xf numFmtId="0" fontId="34" fillId="0" borderId="111" xfId="33" applyFont="1" applyFill="1" applyBorder="1" applyAlignment="1">
      <alignment horizontal="center" vertical="top" wrapText="1"/>
    </xf>
    <xf numFmtId="0" fontId="34" fillId="0" borderId="36" xfId="33" applyFont="1" applyFill="1" applyBorder="1" applyAlignment="1">
      <alignment horizontal="center" vertical="top" wrapText="1"/>
    </xf>
    <xf numFmtId="0" fontId="41" fillId="0" borderId="0" xfId="33" applyFont="1" applyBorder="1" applyAlignment="1">
      <alignment horizontal="left" vertical="center" wrapText="1"/>
    </xf>
    <xf numFmtId="0" fontId="41" fillId="0" borderId="135" xfId="33" applyFont="1" applyBorder="1" applyAlignment="1">
      <alignment horizontal="center" vertical="center" wrapText="1"/>
    </xf>
    <xf numFmtId="0" fontId="41" fillId="0" borderId="48" xfId="33" applyFont="1" applyBorder="1" applyAlignment="1">
      <alignment horizontal="center" vertical="center" wrapText="1"/>
    </xf>
    <xf numFmtId="0" fontId="39" fillId="9" borderId="146" xfId="33" applyFont="1" applyFill="1" applyBorder="1" applyAlignment="1">
      <alignment horizontal="center" vertical="center" wrapText="1"/>
    </xf>
    <xf numFmtId="0" fontId="39" fillId="9" borderId="106" xfId="33" applyFont="1" applyFill="1" applyBorder="1" applyAlignment="1">
      <alignment horizontal="center" vertical="center" wrapText="1"/>
    </xf>
    <xf numFmtId="0" fontId="39" fillId="9" borderId="43" xfId="33" applyFont="1" applyFill="1" applyBorder="1" applyAlignment="1">
      <alignment horizontal="center" vertical="center" wrapText="1"/>
    </xf>
    <xf numFmtId="0" fontId="34" fillId="0" borderId="14" xfId="33" applyFont="1" applyFill="1" applyBorder="1" applyAlignment="1">
      <alignment horizontal="center" vertical="top" wrapText="1"/>
    </xf>
    <xf numFmtId="0" fontId="41" fillId="0" borderId="24" xfId="33" applyFont="1" applyBorder="1" applyAlignment="1">
      <alignment horizontal="left" vertical="center" wrapText="1"/>
    </xf>
    <xf numFmtId="0" fontId="39" fillId="9" borderId="135" xfId="33" applyFont="1" applyFill="1" applyBorder="1" applyAlignment="1">
      <alignment horizontal="center" vertical="top" wrapText="1"/>
    </xf>
    <xf numFmtId="0" fontId="39" fillId="9" borderId="48" xfId="33" applyFont="1" applyFill="1" applyBorder="1" applyAlignment="1">
      <alignment horizontal="center" vertical="top" wrapText="1"/>
    </xf>
    <xf numFmtId="0" fontId="38" fillId="0" borderId="35" xfId="33" applyFont="1" applyBorder="1" applyAlignment="1">
      <alignment horizontal="left" vertical="center" wrapText="1"/>
    </xf>
    <xf numFmtId="0" fontId="41" fillId="0" borderId="49" xfId="33" applyFont="1" applyFill="1" applyBorder="1" applyAlignment="1">
      <alignment horizontal="left" vertical="center" wrapText="1"/>
    </xf>
    <xf numFmtId="0" fontId="46" fillId="10" borderId="106" xfId="33" applyFont="1" applyFill="1" applyBorder="1" applyAlignment="1">
      <alignment horizontal="center" vertical="top" wrapText="1"/>
    </xf>
    <xf numFmtId="0" fontId="46" fillId="10" borderId="12" xfId="33" applyFont="1" applyFill="1" applyBorder="1" applyAlignment="1">
      <alignment horizontal="center" vertical="top" wrapText="1"/>
    </xf>
    <xf numFmtId="0" fontId="39" fillId="0" borderId="111" xfId="41" applyFont="1" applyBorder="1" applyAlignment="1">
      <alignment horizontal="center" vertical="center" wrapText="1"/>
    </xf>
    <xf numFmtId="0" fontId="39" fillId="0" borderId="173" xfId="41" applyFont="1" applyBorder="1" applyAlignment="1">
      <alignment horizontal="center" vertical="center" wrapText="1"/>
    </xf>
    <xf numFmtId="0" fontId="120" fillId="0" borderId="111" xfId="41" applyFont="1" applyBorder="1" applyAlignment="1">
      <alignment horizontal="center" vertical="center" wrapText="1"/>
    </xf>
    <xf numFmtId="0" fontId="120" fillId="0" borderId="173" xfId="41" applyFont="1" applyBorder="1" applyAlignment="1">
      <alignment horizontal="center" vertical="center" wrapText="1"/>
    </xf>
    <xf numFmtId="0" fontId="48" fillId="0" borderId="0" xfId="41" applyFont="1" applyBorder="1" applyAlignment="1">
      <alignment horizontal="center" vertical="center"/>
    </xf>
    <xf numFmtId="0" fontId="39" fillId="0" borderId="1" xfId="41" applyFont="1" applyBorder="1" applyAlignment="1">
      <alignment vertical="center"/>
    </xf>
    <xf numFmtId="0" fontId="39" fillId="0" borderId="1" xfId="41" applyFont="1" applyBorder="1" applyAlignment="1">
      <alignment horizontal="center" vertical="center" wrapText="1"/>
    </xf>
    <xf numFmtId="0" fontId="39" fillId="0" borderId="127" xfId="41" applyFont="1" applyBorder="1" applyAlignment="1">
      <alignment horizontal="center" vertical="center" wrapText="1"/>
    </xf>
    <xf numFmtId="0" fontId="39" fillId="0" borderId="129" xfId="41" applyFont="1" applyBorder="1" applyAlignment="1">
      <alignment horizontal="center" vertical="center" wrapText="1"/>
    </xf>
    <xf numFmtId="0" fontId="39" fillId="0" borderId="147" xfId="41" applyFont="1" applyBorder="1" applyAlignment="1">
      <alignment horizontal="center" vertical="center" wrapText="1"/>
    </xf>
    <xf numFmtId="0" fontId="23" fillId="0" borderId="0" xfId="32" applyFont="1" applyAlignment="1">
      <alignment horizontal="right"/>
    </xf>
    <xf numFmtId="0" fontId="54" fillId="9" borderId="29" xfId="31" applyFont="1" applyFill="1" applyBorder="1" applyAlignment="1">
      <alignment horizontal="center" vertical="top"/>
    </xf>
    <xf numFmtId="0" fontId="54" fillId="9" borderId="57" xfId="31" applyFont="1" applyFill="1" applyBorder="1" applyAlignment="1">
      <alignment horizontal="center" vertical="top"/>
    </xf>
    <xf numFmtId="0" fontId="54" fillId="9" borderId="15" xfId="31" applyFont="1" applyFill="1" applyBorder="1" applyAlignment="1">
      <alignment horizontal="center" vertical="top"/>
    </xf>
    <xf numFmtId="0" fontId="50" fillId="0" borderId="0" xfId="32" applyFont="1" applyAlignment="1">
      <alignment horizontal="left"/>
    </xf>
    <xf numFmtId="0" fontId="51" fillId="0" borderId="0" xfId="31" applyFont="1" applyBorder="1" applyAlignment="1">
      <alignment horizontal="center" vertical="center" wrapText="1"/>
    </xf>
    <xf numFmtId="0" fontId="51" fillId="0" borderId="0" xfId="31" applyFont="1" applyBorder="1" applyAlignment="1">
      <alignment horizontal="left" vertical="center" wrapText="1"/>
    </xf>
    <xf numFmtId="0" fontId="48" fillId="0" borderId="0" xfId="31" applyFont="1" applyBorder="1" applyAlignment="1">
      <alignment horizontal="left" vertical="center"/>
    </xf>
    <xf numFmtId="0" fontId="99" fillId="0" borderId="0" xfId="40" applyFont="1" applyAlignment="1">
      <alignment horizontal="right"/>
    </xf>
    <xf numFmtId="170" fontId="102" fillId="0" borderId="0" xfId="39" applyFont="1" applyFill="1" applyBorder="1" applyAlignment="1" applyProtection="1">
      <alignment horizontal="center" vertical="center"/>
    </xf>
    <xf numFmtId="170" fontId="34" fillId="0" borderId="8" xfId="39" applyFont="1" applyFill="1" applyBorder="1" applyAlignment="1" applyProtection="1">
      <alignment horizontal="center" vertical="top"/>
    </xf>
    <xf numFmtId="170" fontId="34" fillId="0" borderId="14" xfId="39" applyFont="1" applyFill="1" applyBorder="1" applyAlignment="1" applyProtection="1">
      <alignment horizontal="center" vertical="top"/>
    </xf>
    <xf numFmtId="170" fontId="34" fillId="0" borderId="2" xfId="39" applyFont="1" applyFill="1" applyBorder="1" applyAlignment="1" applyProtection="1">
      <alignment horizontal="center" vertical="top"/>
    </xf>
    <xf numFmtId="170" fontId="34" fillId="0" borderId="36" xfId="39" applyFont="1" applyFill="1" applyBorder="1" applyAlignment="1" applyProtection="1">
      <alignment horizontal="center" vertical="top"/>
    </xf>
    <xf numFmtId="0" fontId="94" fillId="0" borderId="46" xfId="23" applyFont="1" applyBorder="1" applyAlignment="1">
      <alignment horizontal="center"/>
    </xf>
    <xf numFmtId="0" fontId="94" fillId="0" borderId="93" xfId="23" applyFont="1" applyBorder="1" applyAlignment="1">
      <alignment horizontal="center"/>
    </xf>
    <xf numFmtId="0" fontId="94" fillId="0" borderId="40" xfId="23" applyFont="1" applyBorder="1" applyAlignment="1">
      <alignment horizontal="center"/>
    </xf>
    <xf numFmtId="0" fontId="94" fillId="0" borderId="0" xfId="23" applyFont="1" applyBorder="1" applyAlignment="1">
      <alignment horizontal="center"/>
    </xf>
    <xf numFmtId="0" fontId="94" fillId="0" borderId="27" xfId="23" applyFont="1" applyBorder="1" applyAlignment="1">
      <alignment horizontal="center"/>
    </xf>
    <xf numFmtId="0" fontId="94" fillId="0" borderId="22" xfId="23" applyFont="1" applyBorder="1" applyAlignment="1">
      <alignment horizontal="center"/>
    </xf>
    <xf numFmtId="0" fontId="76" fillId="0" borderId="0" xfId="23" applyFont="1" applyBorder="1" applyAlignment="1">
      <alignment horizontal="center" vertical="center"/>
    </xf>
    <xf numFmtId="49" fontId="79" fillId="16" borderId="38" xfId="23" applyNumberFormat="1" applyFont="1" applyFill="1" applyBorder="1" applyAlignment="1" applyProtection="1">
      <alignment horizontal="center" vertical="center" wrapText="1"/>
      <protection locked="0"/>
    </xf>
    <xf numFmtId="49" fontId="79" fillId="16" borderId="19" xfId="23" applyNumberFormat="1" applyFont="1" applyFill="1" applyBorder="1" applyAlignment="1" applyProtection="1">
      <alignment horizontal="center" vertical="center" wrapText="1"/>
      <protection locked="0"/>
    </xf>
    <xf numFmtId="49" fontId="79" fillId="16" borderId="50" xfId="23" applyNumberFormat="1" applyFont="1" applyFill="1" applyBorder="1" applyAlignment="1" applyProtection="1">
      <alignment horizontal="center" vertical="center" wrapText="1"/>
      <protection locked="0"/>
    </xf>
    <xf numFmtId="49" fontId="80" fillId="16" borderId="7" xfId="23" applyNumberFormat="1" applyFont="1" applyFill="1" applyBorder="1" applyAlignment="1" applyProtection="1">
      <alignment horizontal="center" vertical="center" wrapText="1"/>
      <protection locked="0"/>
    </xf>
    <xf numFmtId="49" fontId="80" fillId="16" borderId="13" xfId="23" applyNumberFormat="1" applyFont="1" applyFill="1" applyBorder="1" applyAlignment="1" applyProtection="1">
      <alignment horizontal="center" vertical="center" wrapText="1"/>
      <protection locked="0"/>
    </xf>
    <xf numFmtId="49" fontId="80" fillId="16" borderId="43" xfId="23" applyNumberFormat="1" applyFont="1" applyFill="1" applyBorder="1" applyAlignment="1" applyProtection="1">
      <alignment horizontal="center" vertical="center" wrapText="1"/>
      <protection locked="0"/>
    </xf>
    <xf numFmtId="49" fontId="79" fillId="16" borderId="29" xfId="23" applyNumberFormat="1" applyFont="1" applyFill="1" applyBorder="1" applyAlignment="1" applyProtection="1">
      <alignment horizontal="center" vertical="center" wrapText="1"/>
      <protection locked="0"/>
    </xf>
    <xf numFmtId="49" fontId="79" fillId="16" borderId="20" xfId="23" applyNumberFormat="1" applyFont="1" applyFill="1" applyBorder="1" applyAlignment="1" applyProtection="1">
      <alignment horizontal="center" vertical="center" wrapText="1"/>
      <protection locked="0"/>
    </xf>
    <xf numFmtId="49" fontId="79" fillId="16" borderId="15" xfId="23" applyNumberFormat="1" applyFont="1" applyFill="1" applyBorder="1" applyAlignment="1" applyProtection="1">
      <alignment horizontal="center" vertical="center" wrapText="1"/>
      <protection locked="0"/>
    </xf>
    <xf numFmtId="49" fontId="93" fillId="16" borderId="29" xfId="23" applyNumberFormat="1" applyFont="1" applyFill="1" applyBorder="1" applyAlignment="1" applyProtection="1">
      <alignment horizontal="right" vertical="center" wrapText="1"/>
      <protection locked="0"/>
    </xf>
    <xf numFmtId="0" fontId="39" fillId="0" borderId="0" xfId="37" applyFont="1" applyBorder="1" applyAlignment="1">
      <alignment horizontal="right"/>
    </xf>
    <xf numFmtId="0" fontId="76" fillId="0" borderId="22" xfId="37" applyFont="1" applyBorder="1" applyAlignment="1">
      <alignment horizontal="center" vertical="center" wrapText="1"/>
    </xf>
    <xf numFmtId="0" fontId="86" fillId="0" borderId="0" xfId="0" applyFont="1" applyAlignment="1">
      <alignment horizontal="center" vertical="top" wrapText="1"/>
    </xf>
    <xf numFmtId="0" fontId="48" fillId="0" borderId="108" xfId="31" applyFont="1" applyBorder="1" applyAlignment="1">
      <alignment horizontal="center" vertical="center"/>
    </xf>
    <xf numFmtId="4" fontId="48" fillId="0" borderId="108" xfId="31" applyNumberFormat="1" applyFont="1" applyBorder="1" applyAlignment="1">
      <alignment horizontal="center" vertical="center"/>
    </xf>
    <xf numFmtId="0" fontId="53" fillId="0" borderId="0" xfId="31" applyFont="1" applyAlignment="1">
      <alignment horizontal="right"/>
    </xf>
    <xf numFmtId="0" fontId="54" fillId="0" borderId="29" xfId="31" applyFont="1" applyBorder="1" applyAlignment="1">
      <alignment horizontal="center" vertical="top"/>
    </xf>
    <xf numFmtId="0" fontId="54" fillId="0" borderId="57" xfId="31" applyFont="1" applyBorder="1" applyAlignment="1">
      <alignment horizontal="center" vertical="top"/>
    </xf>
    <xf numFmtId="0" fontId="54" fillId="0" borderId="15" xfId="31" applyFont="1" applyBorder="1" applyAlignment="1">
      <alignment horizontal="center" vertical="top"/>
    </xf>
    <xf numFmtId="0" fontId="54" fillId="9" borderId="68" xfId="31" applyFont="1" applyFill="1" applyBorder="1" applyAlignment="1">
      <alignment horizontal="center" vertical="top"/>
    </xf>
    <xf numFmtId="0" fontId="16" fillId="0" borderId="0" xfId="31" applyFont="1" applyBorder="1" applyAlignment="1">
      <alignment horizontal="left"/>
    </xf>
    <xf numFmtId="0" fontId="16" fillId="0" borderId="0" xfId="31" applyAlignment="1">
      <alignment horizontal="center" wrapText="1"/>
    </xf>
    <xf numFmtId="0" fontId="27" fillId="0" borderId="0" xfId="31" applyFont="1" applyBorder="1" applyAlignment="1">
      <alignment horizontal="left" vertical="top" wrapText="1"/>
    </xf>
    <xf numFmtId="0" fontId="16" fillId="0" borderId="0" xfId="31" applyFont="1" applyBorder="1" applyAlignment="1">
      <alignment horizontal="left" vertical="top" wrapText="1"/>
    </xf>
    <xf numFmtId="0" fontId="54" fillId="0" borderId="29" xfId="31" applyFont="1" applyBorder="1" applyAlignment="1">
      <alignment horizontal="left" vertical="top"/>
    </xf>
    <xf numFmtId="0" fontId="54" fillId="0" borderId="57" xfId="31" applyFont="1" applyBorder="1" applyAlignment="1">
      <alignment horizontal="left" vertical="top"/>
    </xf>
    <xf numFmtId="0" fontId="54" fillId="0" borderId="15" xfId="31" applyFont="1" applyBorder="1" applyAlignment="1">
      <alignment horizontal="left" vertical="top"/>
    </xf>
  </cellXfs>
  <cellStyles count="47">
    <cellStyle name="ConditionalStyle_1" xfId="2"/>
    <cellStyle name="Dziesiętny_załączniki  nr 1,2,3,4,5,6,7,8,9,10,11  2008" xfId="39"/>
    <cellStyle name="Excel Built-in Normal" xfId="3"/>
    <cellStyle name="Normalny" xfId="0" builtinId="0"/>
    <cellStyle name="Normalny 10" xfId="4"/>
    <cellStyle name="Normalny 11" xfId="5"/>
    <cellStyle name="Normalny 12" xfId="6"/>
    <cellStyle name="Normalny 13" xfId="7"/>
    <cellStyle name="Normalny 14" xfId="8"/>
    <cellStyle name="Normalny 15" xfId="9"/>
    <cellStyle name="Normalny 16" xfId="10"/>
    <cellStyle name="Normalny 17" xfId="11"/>
    <cellStyle name="Normalny 18" xfId="12"/>
    <cellStyle name="Normalny 19" xfId="13"/>
    <cellStyle name="Normalny 2" xfId="14"/>
    <cellStyle name="Normalny 2 2" xfId="43"/>
    <cellStyle name="Normalny 20" xfId="15"/>
    <cellStyle name="Normalny 20 2" xfId="16"/>
    <cellStyle name="Normalny 21" xfId="17"/>
    <cellStyle name="Normalny 22" xfId="18"/>
    <cellStyle name="Normalny 23" xfId="19"/>
    <cellStyle name="Normalny 24" xfId="1"/>
    <cellStyle name="Normalny 25" xfId="20"/>
    <cellStyle name="Normalny 26" xfId="21"/>
    <cellStyle name="Normalny 3" xfId="22"/>
    <cellStyle name="Normalny 3 2" xfId="23"/>
    <cellStyle name="Normalny 4" xfId="24"/>
    <cellStyle name="Normalny 4 2" xfId="25"/>
    <cellStyle name="Normalny 5" xfId="26"/>
    <cellStyle name="Normalny 5 2" xfId="44"/>
    <cellStyle name="Normalny 5 3" xfId="45"/>
    <cellStyle name="Normalny 5 3 2" xfId="46"/>
    <cellStyle name="Normalny 6" xfId="27"/>
    <cellStyle name="Normalny 7" xfId="28"/>
    <cellStyle name="Normalny 7 2" xfId="42"/>
    <cellStyle name="Normalny 8" xfId="29"/>
    <cellStyle name="Normalny 9" xfId="30"/>
    <cellStyle name="Normalny_DOCHODY  WYDATKI 2011" xfId="31"/>
    <cellStyle name="Normalny_Kwiecień" xfId="40"/>
    <cellStyle name="Normalny_Przedsiewzięcia FS Zbiorcze 2" xfId="37"/>
    <cellStyle name="Normalny_Załacznik 2010" xfId="32"/>
    <cellStyle name="Normalny_załaczniki maj" xfId="33"/>
    <cellStyle name="Normalny_załaczniki maj_sołectwa - podział środków 2010" xfId="38"/>
    <cellStyle name="Normalny_załączniki  nr 1,2,3,4,5,6,7,8,9,10,11  2008" xfId="41"/>
    <cellStyle name="Normalny_Załączniki budżet 2010" xfId="35"/>
    <cellStyle name="Normalny_Zeszyt1" xfId="34"/>
    <cellStyle name="Walutowy_Załączniki budżet 2010" xfId="36"/>
  </cellStyles>
  <dxfs count="0"/>
  <tableStyles count="0" defaultTableStyle="TableStyleMedium2" defaultPivotStyle="PivotStyleLight16"/>
  <colors>
    <mruColors>
      <color rgb="FFFF99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kachlicka/Desktop/ODPADY%202013%20do%20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3"/>
      <sheetName val="2014"/>
      <sheetName val="I pół.2015"/>
      <sheetName val="2015 roczne"/>
      <sheetName val="2016"/>
      <sheetName val="2017"/>
      <sheetName val="2017 wykonanie"/>
      <sheetName val="2018)"/>
      <sheetName val="analiza 2018"/>
      <sheetName val="ZIORÓWKA"/>
      <sheetName val="Arkusz2"/>
      <sheetName val="2017korekta"/>
    </sheetNames>
    <sheetDataSet>
      <sheetData sheetId="0"/>
      <sheetData sheetId="1"/>
      <sheetData sheetId="2"/>
      <sheetData sheetId="3">
        <row r="53">
          <cell r="F53">
            <v>105831.27419900033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9"/>
  <sheetViews>
    <sheetView showGridLines="0" topLeftCell="A61" workbookViewId="0">
      <selection activeCell="C65" sqref="C65:L65"/>
    </sheetView>
  </sheetViews>
  <sheetFormatPr defaultRowHeight="12.75" x14ac:dyDescent="0.2"/>
  <cols>
    <col min="1" max="1" width="4.5703125" style="1" customWidth="1"/>
    <col min="2" max="2" width="8.140625" style="1" customWidth="1"/>
    <col min="3" max="3" width="7.85546875" style="1" customWidth="1"/>
    <col min="4" max="4" width="33.140625" style="1" customWidth="1"/>
    <col min="5" max="5" width="12" style="1" customWidth="1"/>
    <col min="6" max="6" width="11.140625" style="1" customWidth="1"/>
    <col min="7" max="7" width="12" style="1" customWidth="1"/>
    <col min="8" max="8" width="13" style="1" customWidth="1"/>
    <col min="9" max="9" width="8.7109375" style="1" customWidth="1"/>
    <col min="10" max="11" width="11.28515625" style="1" customWidth="1"/>
    <col min="12" max="248" width="9.140625" style="1"/>
    <col min="249" max="249" width="2.140625" style="1" customWidth="1"/>
    <col min="250" max="250" width="8.7109375" style="1" customWidth="1"/>
    <col min="251" max="251" width="9.85546875" style="1" customWidth="1"/>
    <col min="252" max="252" width="1" style="1" customWidth="1"/>
    <col min="253" max="253" width="10.85546875" style="1" customWidth="1"/>
    <col min="254" max="254" width="54.5703125" style="1" customWidth="1"/>
    <col min="255" max="256" width="22.85546875" style="1" customWidth="1"/>
    <col min="257" max="257" width="9.85546875" style="1" customWidth="1"/>
    <col min="258" max="258" width="13" style="1" customWidth="1"/>
    <col min="259" max="259" width="1" style="1" customWidth="1"/>
    <col min="260" max="504" width="9.140625" style="1"/>
    <col min="505" max="505" width="2.140625" style="1" customWidth="1"/>
    <col min="506" max="506" width="8.7109375" style="1" customWidth="1"/>
    <col min="507" max="507" width="9.85546875" style="1" customWidth="1"/>
    <col min="508" max="508" width="1" style="1" customWidth="1"/>
    <col min="509" max="509" width="10.85546875" style="1" customWidth="1"/>
    <col min="510" max="510" width="54.5703125" style="1" customWidth="1"/>
    <col min="511" max="512" width="22.85546875" style="1" customWidth="1"/>
    <col min="513" max="513" width="9.85546875" style="1" customWidth="1"/>
    <col min="514" max="514" width="13" style="1" customWidth="1"/>
    <col min="515" max="515" width="1" style="1" customWidth="1"/>
    <col min="516" max="760" width="9.140625" style="1"/>
    <col min="761" max="761" width="2.140625" style="1" customWidth="1"/>
    <col min="762" max="762" width="8.7109375" style="1" customWidth="1"/>
    <col min="763" max="763" width="9.85546875" style="1" customWidth="1"/>
    <col min="764" max="764" width="1" style="1" customWidth="1"/>
    <col min="765" max="765" width="10.85546875" style="1" customWidth="1"/>
    <col min="766" max="766" width="54.5703125" style="1" customWidth="1"/>
    <col min="767" max="768" width="22.85546875" style="1" customWidth="1"/>
    <col min="769" max="769" width="9.85546875" style="1" customWidth="1"/>
    <col min="770" max="770" width="13" style="1" customWidth="1"/>
    <col min="771" max="771" width="1" style="1" customWidth="1"/>
    <col min="772" max="1016" width="9.140625" style="1"/>
    <col min="1017" max="1017" width="2.140625" style="1" customWidth="1"/>
    <col min="1018" max="1018" width="8.7109375" style="1" customWidth="1"/>
    <col min="1019" max="1019" width="9.85546875" style="1" customWidth="1"/>
    <col min="1020" max="1020" width="1" style="1" customWidth="1"/>
    <col min="1021" max="1021" width="10.85546875" style="1" customWidth="1"/>
    <col min="1022" max="1022" width="54.5703125" style="1" customWidth="1"/>
    <col min="1023" max="1024" width="22.85546875" style="1" customWidth="1"/>
    <col min="1025" max="1025" width="9.85546875" style="1" customWidth="1"/>
    <col min="1026" max="1026" width="13" style="1" customWidth="1"/>
    <col min="1027" max="1027" width="1" style="1" customWidth="1"/>
    <col min="1028" max="1272" width="9.140625" style="1"/>
    <col min="1273" max="1273" width="2.140625" style="1" customWidth="1"/>
    <col min="1274" max="1274" width="8.7109375" style="1" customWidth="1"/>
    <col min="1275" max="1275" width="9.85546875" style="1" customWidth="1"/>
    <col min="1276" max="1276" width="1" style="1" customWidth="1"/>
    <col min="1277" max="1277" width="10.85546875" style="1" customWidth="1"/>
    <col min="1278" max="1278" width="54.5703125" style="1" customWidth="1"/>
    <col min="1279" max="1280" width="22.85546875" style="1" customWidth="1"/>
    <col min="1281" max="1281" width="9.85546875" style="1" customWidth="1"/>
    <col min="1282" max="1282" width="13" style="1" customWidth="1"/>
    <col min="1283" max="1283" width="1" style="1" customWidth="1"/>
    <col min="1284" max="1528" width="9.140625" style="1"/>
    <col min="1529" max="1529" width="2.140625" style="1" customWidth="1"/>
    <col min="1530" max="1530" width="8.7109375" style="1" customWidth="1"/>
    <col min="1531" max="1531" width="9.85546875" style="1" customWidth="1"/>
    <col min="1532" max="1532" width="1" style="1" customWidth="1"/>
    <col min="1533" max="1533" width="10.85546875" style="1" customWidth="1"/>
    <col min="1534" max="1534" width="54.5703125" style="1" customWidth="1"/>
    <col min="1535" max="1536" width="22.85546875" style="1" customWidth="1"/>
    <col min="1537" max="1537" width="9.85546875" style="1" customWidth="1"/>
    <col min="1538" max="1538" width="13" style="1" customWidth="1"/>
    <col min="1539" max="1539" width="1" style="1" customWidth="1"/>
    <col min="1540" max="1784" width="9.140625" style="1"/>
    <col min="1785" max="1785" width="2.140625" style="1" customWidth="1"/>
    <col min="1786" max="1786" width="8.7109375" style="1" customWidth="1"/>
    <col min="1787" max="1787" width="9.85546875" style="1" customWidth="1"/>
    <col min="1788" max="1788" width="1" style="1" customWidth="1"/>
    <col min="1789" max="1789" width="10.85546875" style="1" customWidth="1"/>
    <col min="1790" max="1790" width="54.5703125" style="1" customWidth="1"/>
    <col min="1791" max="1792" width="22.85546875" style="1" customWidth="1"/>
    <col min="1793" max="1793" width="9.85546875" style="1" customWidth="1"/>
    <col min="1794" max="1794" width="13" style="1" customWidth="1"/>
    <col min="1795" max="1795" width="1" style="1" customWidth="1"/>
    <col min="1796" max="2040" width="9.140625" style="1"/>
    <col min="2041" max="2041" width="2.140625" style="1" customWidth="1"/>
    <col min="2042" max="2042" width="8.7109375" style="1" customWidth="1"/>
    <col min="2043" max="2043" width="9.85546875" style="1" customWidth="1"/>
    <col min="2044" max="2044" width="1" style="1" customWidth="1"/>
    <col min="2045" max="2045" width="10.85546875" style="1" customWidth="1"/>
    <col min="2046" max="2046" width="54.5703125" style="1" customWidth="1"/>
    <col min="2047" max="2048" width="22.85546875" style="1" customWidth="1"/>
    <col min="2049" max="2049" width="9.85546875" style="1" customWidth="1"/>
    <col min="2050" max="2050" width="13" style="1" customWidth="1"/>
    <col min="2051" max="2051" width="1" style="1" customWidth="1"/>
    <col min="2052" max="2296" width="9.140625" style="1"/>
    <col min="2297" max="2297" width="2.140625" style="1" customWidth="1"/>
    <col min="2298" max="2298" width="8.7109375" style="1" customWidth="1"/>
    <col min="2299" max="2299" width="9.85546875" style="1" customWidth="1"/>
    <col min="2300" max="2300" width="1" style="1" customWidth="1"/>
    <col min="2301" max="2301" width="10.85546875" style="1" customWidth="1"/>
    <col min="2302" max="2302" width="54.5703125" style="1" customWidth="1"/>
    <col min="2303" max="2304" width="22.85546875" style="1" customWidth="1"/>
    <col min="2305" max="2305" width="9.85546875" style="1" customWidth="1"/>
    <col min="2306" max="2306" width="13" style="1" customWidth="1"/>
    <col min="2307" max="2307" width="1" style="1" customWidth="1"/>
    <col min="2308" max="2552" width="9.140625" style="1"/>
    <col min="2553" max="2553" width="2.140625" style="1" customWidth="1"/>
    <col min="2554" max="2554" width="8.7109375" style="1" customWidth="1"/>
    <col min="2555" max="2555" width="9.85546875" style="1" customWidth="1"/>
    <col min="2556" max="2556" width="1" style="1" customWidth="1"/>
    <col min="2557" max="2557" width="10.85546875" style="1" customWidth="1"/>
    <col min="2558" max="2558" width="54.5703125" style="1" customWidth="1"/>
    <col min="2559" max="2560" width="22.85546875" style="1" customWidth="1"/>
    <col min="2561" max="2561" width="9.85546875" style="1" customWidth="1"/>
    <col min="2562" max="2562" width="13" style="1" customWidth="1"/>
    <col min="2563" max="2563" width="1" style="1" customWidth="1"/>
    <col min="2564" max="2808" width="9.140625" style="1"/>
    <col min="2809" max="2809" width="2.140625" style="1" customWidth="1"/>
    <col min="2810" max="2810" width="8.7109375" style="1" customWidth="1"/>
    <col min="2811" max="2811" width="9.85546875" style="1" customWidth="1"/>
    <col min="2812" max="2812" width="1" style="1" customWidth="1"/>
    <col min="2813" max="2813" width="10.85546875" style="1" customWidth="1"/>
    <col min="2814" max="2814" width="54.5703125" style="1" customWidth="1"/>
    <col min="2815" max="2816" width="22.85546875" style="1" customWidth="1"/>
    <col min="2817" max="2817" width="9.85546875" style="1" customWidth="1"/>
    <col min="2818" max="2818" width="13" style="1" customWidth="1"/>
    <col min="2819" max="2819" width="1" style="1" customWidth="1"/>
    <col min="2820" max="3064" width="9.140625" style="1"/>
    <col min="3065" max="3065" width="2.140625" style="1" customWidth="1"/>
    <col min="3066" max="3066" width="8.7109375" style="1" customWidth="1"/>
    <col min="3067" max="3067" width="9.85546875" style="1" customWidth="1"/>
    <col min="3068" max="3068" width="1" style="1" customWidth="1"/>
    <col min="3069" max="3069" width="10.85546875" style="1" customWidth="1"/>
    <col min="3070" max="3070" width="54.5703125" style="1" customWidth="1"/>
    <col min="3071" max="3072" width="22.85546875" style="1" customWidth="1"/>
    <col min="3073" max="3073" width="9.85546875" style="1" customWidth="1"/>
    <col min="3074" max="3074" width="13" style="1" customWidth="1"/>
    <col min="3075" max="3075" width="1" style="1" customWidth="1"/>
    <col min="3076" max="3320" width="9.140625" style="1"/>
    <col min="3321" max="3321" width="2.140625" style="1" customWidth="1"/>
    <col min="3322" max="3322" width="8.7109375" style="1" customWidth="1"/>
    <col min="3323" max="3323" width="9.85546875" style="1" customWidth="1"/>
    <col min="3324" max="3324" width="1" style="1" customWidth="1"/>
    <col min="3325" max="3325" width="10.85546875" style="1" customWidth="1"/>
    <col min="3326" max="3326" width="54.5703125" style="1" customWidth="1"/>
    <col min="3327" max="3328" width="22.85546875" style="1" customWidth="1"/>
    <col min="3329" max="3329" width="9.85546875" style="1" customWidth="1"/>
    <col min="3330" max="3330" width="13" style="1" customWidth="1"/>
    <col min="3331" max="3331" width="1" style="1" customWidth="1"/>
    <col min="3332" max="3576" width="9.140625" style="1"/>
    <col min="3577" max="3577" width="2.140625" style="1" customWidth="1"/>
    <col min="3578" max="3578" width="8.7109375" style="1" customWidth="1"/>
    <col min="3579" max="3579" width="9.85546875" style="1" customWidth="1"/>
    <col min="3580" max="3580" width="1" style="1" customWidth="1"/>
    <col min="3581" max="3581" width="10.85546875" style="1" customWidth="1"/>
    <col min="3582" max="3582" width="54.5703125" style="1" customWidth="1"/>
    <col min="3583" max="3584" width="22.85546875" style="1" customWidth="1"/>
    <col min="3585" max="3585" width="9.85546875" style="1" customWidth="1"/>
    <col min="3586" max="3586" width="13" style="1" customWidth="1"/>
    <col min="3587" max="3587" width="1" style="1" customWidth="1"/>
    <col min="3588" max="3832" width="9.140625" style="1"/>
    <col min="3833" max="3833" width="2.140625" style="1" customWidth="1"/>
    <col min="3834" max="3834" width="8.7109375" style="1" customWidth="1"/>
    <col min="3835" max="3835" width="9.85546875" style="1" customWidth="1"/>
    <col min="3836" max="3836" width="1" style="1" customWidth="1"/>
    <col min="3837" max="3837" width="10.85546875" style="1" customWidth="1"/>
    <col min="3838" max="3838" width="54.5703125" style="1" customWidth="1"/>
    <col min="3839" max="3840" width="22.85546875" style="1" customWidth="1"/>
    <col min="3841" max="3841" width="9.85546875" style="1" customWidth="1"/>
    <col min="3842" max="3842" width="13" style="1" customWidth="1"/>
    <col min="3843" max="3843" width="1" style="1" customWidth="1"/>
    <col min="3844" max="4088" width="9.140625" style="1"/>
    <col min="4089" max="4089" width="2.140625" style="1" customWidth="1"/>
    <col min="4090" max="4090" width="8.7109375" style="1" customWidth="1"/>
    <col min="4091" max="4091" width="9.85546875" style="1" customWidth="1"/>
    <col min="4092" max="4092" width="1" style="1" customWidth="1"/>
    <col min="4093" max="4093" width="10.85546875" style="1" customWidth="1"/>
    <col min="4094" max="4094" width="54.5703125" style="1" customWidth="1"/>
    <col min="4095" max="4096" width="22.85546875" style="1" customWidth="1"/>
    <col min="4097" max="4097" width="9.85546875" style="1" customWidth="1"/>
    <col min="4098" max="4098" width="13" style="1" customWidth="1"/>
    <col min="4099" max="4099" width="1" style="1" customWidth="1"/>
    <col min="4100" max="4344" width="9.140625" style="1"/>
    <col min="4345" max="4345" width="2.140625" style="1" customWidth="1"/>
    <col min="4346" max="4346" width="8.7109375" style="1" customWidth="1"/>
    <col min="4347" max="4347" width="9.85546875" style="1" customWidth="1"/>
    <col min="4348" max="4348" width="1" style="1" customWidth="1"/>
    <col min="4349" max="4349" width="10.85546875" style="1" customWidth="1"/>
    <col min="4350" max="4350" width="54.5703125" style="1" customWidth="1"/>
    <col min="4351" max="4352" width="22.85546875" style="1" customWidth="1"/>
    <col min="4353" max="4353" width="9.85546875" style="1" customWidth="1"/>
    <col min="4354" max="4354" width="13" style="1" customWidth="1"/>
    <col min="4355" max="4355" width="1" style="1" customWidth="1"/>
    <col min="4356" max="4600" width="9.140625" style="1"/>
    <col min="4601" max="4601" width="2.140625" style="1" customWidth="1"/>
    <col min="4602" max="4602" width="8.7109375" style="1" customWidth="1"/>
    <col min="4603" max="4603" width="9.85546875" style="1" customWidth="1"/>
    <col min="4604" max="4604" width="1" style="1" customWidth="1"/>
    <col min="4605" max="4605" width="10.85546875" style="1" customWidth="1"/>
    <col min="4606" max="4606" width="54.5703125" style="1" customWidth="1"/>
    <col min="4607" max="4608" width="22.85546875" style="1" customWidth="1"/>
    <col min="4609" max="4609" width="9.85546875" style="1" customWidth="1"/>
    <col min="4610" max="4610" width="13" style="1" customWidth="1"/>
    <col min="4611" max="4611" width="1" style="1" customWidth="1"/>
    <col min="4612" max="4856" width="9.140625" style="1"/>
    <col min="4857" max="4857" width="2.140625" style="1" customWidth="1"/>
    <col min="4858" max="4858" width="8.7109375" style="1" customWidth="1"/>
    <col min="4859" max="4859" width="9.85546875" style="1" customWidth="1"/>
    <col min="4860" max="4860" width="1" style="1" customWidth="1"/>
    <col min="4861" max="4861" width="10.85546875" style="1" customWidth="1"/>
    <col min="4862" max="4862" width="54.5703125" style="1" customWidth="1"/>
    <col min="4863" max="4864" width="22.85546875" style="1" customWidth="1"/>
    <col min="4865" max="4865" width="9.85546875" style="1" customWidth="1"/>
    <col min="4866" max="4866" width="13" style="1" customWidth="1"/>
    <col min="4867" max="4867" width="1" style="1" customWidth="1"/>
    <col min="4868" max="5112" width="9.140625" style="1"/>
    <col min="5113" max="5113" width="2.140625" style="1" customWidth="1"/>
    <col min="5114" max="5114" width="8.7109375" style="1" customWidth="1"/>
    <col min="5115" max="5115" width="9.85546875" style="1" customWidth="1"/>
    <col min="5116" max="5116" width="1" style="1" customWidth="1"/>
    <col min="5117" max="5117" width="10.85546875" style="1" customWidth="1"/>
    <col min="5118" max="5118" width="54.5703125" style="1" customWidth="1"/>
    <col min="5119" max="5120" width="22.85546875" style="1" customWidth="1"/>
    <col min="5121" max="5121" width="9.85546875" style="1" customWidth="1"/>
    <col min="5122" max="5122" width="13" style="1" customWidth="1"/>
    <col min="5123" max="5123" width="1" style="1" customWidth="1"/>
    <col min="5124" max="5368" width="9.140625" style="1"/>
    <col min="5369" max="5369" width="2.140625" style="1" customWidth="1"/>
    <col min="5370" max="5370" width="8.7109375" style="1" customWidth="1"/>
    <col min="5371" max="5371" width="9.85546875" style="1" customWidth="1"/>
    <col min="5372" max="5372" width="1" style="1" customWidth="1"/>
    <col min="5373" max="5373" width="10.85546875" style="1" customWidth="1"/>
    <col min="5374" max="5374" width="54.5703125" style="1" customWidth="1"/>
    <col min="5375" max="5376" width="22.85546875" style="1" customWidth="1"/>
    <col min="5377" max="5377" width="9.85546875" style="1" customWidth="1"/>
    <col min="5378" max="5378" width="13" style="1" customWidth="1"/>
    <col min="5379" max="5379" width="1" style="1" customWidth="1"/>
    <col min="5380" max="5624" width="9.140625" style="1"/>
    <col min="5625" max="5625" width="2.140625" style="1" customWidth="1"/>
    <col min="5626" max="5626" width="8.7109375" style="1" customWidth="1"/>
    <col min="5627" max="5627" width="9.85546875" style="1" customWidth="1"/>
    <col min="5628" max="5628" width="1" style="1" customWidth="1"/>
    <col min="5629" max="5629" width="10.85546875" style="1" customWidth="1"/>
    <col min="5630" max="5630" width="54.5703125" style="1" customWidth="1"/>
    <col min="5631" max="5632" width="22.85546875" style="1" customWidth="1"/>
    <col min="5633" max="5633" width="9.85546875" style="1" customWidth="1"/>
    <col min="5634" max="5634" width="13" style="1" customWidth="1"/>
    <col min="5635" max="5635" width="1" style="1" customWidth="1"/>
    <col min="5636" max="5880" width="9.140625" style="1"/>
    <col min="5881" max="5881" width="2.140625" style="1" customWidth="1"/>
    <col min="5882" max="5882" width="8.7109375" style="1" customWidth="1"/>
    <col min="5883" max="5883" width="9.85546875" style="1" customWidth="1"/>
    <col min="5884" max="5884" width="1" style="1" customWidth="1"/>
    <col min="5885" max="5885" width="10.85546875" style="1" customWidth="1"/>
    <col min="5886" max="5886" width="54.5703125" style="1" customWidth="1"/>
    <col min="5887" max="5888" width="22.85546875" style="1" customWidth="1"/>
    <col min="5889" max="5889" width="9.85546875" style="1" customWidth="1"/>
    <col min="5890" max="5890" width="13" style="1" customWidth="1"/>
    <col min="5891" max="5891" width="1" style="1" customWidth="1"/>
    <col min="5892" max="6136" width="9.140625" style="1"/>
    <col min="6137" max="6137" width="2.140625" style="1" customWidth="1"/>
    <col min="6138" max="6138" width="8.7109375" style="1" customWidth="1"/>
    <col min="6139" max="6139" width="9.85546875" style="1" customWidth="1"/>
    <col min="6140" max="6140" width="1" style="1" customWidth="1"/>
    <col min="6141" max="6141" width="10.85546875" style="1" customWidth="1"/>
    <col min="6142" max="6142" width="54.5703125" style="1" customWidth="1"/>
    <col min="6143" max="6144" width="22.85546875" style="1" customWidth="1"/>
    <col min="6145" max="6145" width="9.85546875" style="1" customWidth="1"/>
    <col min="6146" max="6146" width="13" style="1" customWidth="1"/>
    <col min="6147" max="6147" width="1" style="1" customWidth="1"/>
    <col min="6148" max="6392" width="9.140625" style="1"/>
    <col min="6393" max="6393" width="2.140625" style="1" customWidth="1"/>
    <col min="6394" max="6394" width="8.7109375" style="1" customWidth="1"/>
    <col min="6395" max="6395" width="9.85546875" style="1" customWidth="1"/>
    <col min="6396" max="6396" width="1" style="1" customWidth="1"/>
    <col min="6397" max="6397" width="10.85546875" style="1" customWidth="1"/>
    <col min="6398" max="6398" width="54.5703125" style="1" customWidth="1"/>
    <col min="6399" max="6400" width="22.85546875" style="1" customWidth="1"/>
    <col min="6401" max="6401" width="9.85546875" style="1" customWidth="1"/>
    <col min="6402" max="6402" width="13" style="1" customWidth="1"/>
    <col min="6403" max="6403" width="1" style="1" customWidth="1"/>
    <col min="6404" max="6648" width="9.140625" style="1"/>
    <col min="6649" max="6649" width="2.140625" style="1" customWidth="1"/>
    <col min="6650" max="6650" width="8.7109375" style="1" customWidth="1"/>
    <col min="6651" max="6651" width="9.85546875" style="1" customWidth="1"/>
    <col min="6652" max="6652" width="1" style="1" customWidth="1"/>
    <col min="6653" max="6653" width="10.85546875" style="1" customWidth="1"/>
    <col min="6654" max="6654" width="54.5703125" style="1" customWidth="1"/>
    <col min="6655" max="6656" width="22.85546875" style="1" customWidth="1"/>
    <col min="6657" max="6657" width="9.85546875" style="1" customWidth="1"/>
    <col min="6658" max="6658" width="13" style="1" customWidth="1"/>
    <col min="6659" max="6659" width="1" style="1" customWidth="1"/>
    <col min="6660" max="6904" width="9.140625" style="1"/>
    <col min="6905" max="6905" width="2.140625" style="1" customWidth="1"/>
    <col min="6906" max="6906" width="8.7109375" style="1" customWidth="1"/>
    <col min="6907" max="6907" width="9.85546875" style="1" customWidth="1"/>
    <col min="6908" max="6908" width="1" style="1" customWidth="1"/>
    <col min="6909" max="6909" width="10.85546875" style="1" customWidth="1"/>
    <col min="6910" max="6910" width="54.5703125" style="1" customWidth="1"/>
    <col min="6911" max="6912" width="22.85546875" style="1" customWidth="1"/>
    <col min="6913" max="6913" width="9.85546875" style="1" customWidth="1"/>
    <col min="6914" max="6914" width="13" style="1" customWidth="1"/>
    <col min="6915" max="6915" width="1" style="1" customWidth="1"/>
    <col min="6916" max="7160" width="9.140625" style="1"/>
    <col min="7161" max="7161" width="2.140625" style="1" customWidth="1"/>
    <col min="7162" max="7162" width="8.7109375" style="1" customWidth="1"/>
    <col min="7163" max="7163" width="9.85546875" style="1" customWidth="1"/>
    <col min="7164" max="7164" width="1" style="1" customWidth="1"/>
    <col min="7165" max="7165" width="10.85546875" style="1" customWidth="1"/>
    <col min="7166" max="7166" width="54.5703125" style="1" customWidth="1"/>
    <col min="7167" max="7168" width="22.85546875" style="1" customWidth="1"/>
    <col min="7169" max="7169" width="9.85546875" style="1" customWidth="1"/>
    <col min="7170" max="7170" width="13" style="1" customWidth="1"/>
    <col min="7171" max="7171" width="1" style="1" customWidth="1"/>
    <col min="7172" max="7416" width="9.140625" style="1"/>
    <col min="7417" max="7417" width="2.140625" style="1" customWidth="1"/>
    <col min="7418" max="7418" width="8.7109375" style="1" customWidth="1"/>
    <col min="7419" max="7419" width="9.85546875" style="1" customWidth="1"/>
    <col min="7420" max="7420" width="1" style="1" customWidth="1"/>
    <col min="7421" max="7421" width="10.85546875" style="1" customWidth="1"/>
    <col min="7422" max="7422" width="54.5703125" style="1" customWidth="1"/>
    <col min="7423" max="7424" width="22.85546875" style="1" customWidth="1"/>
    <col min="7425" max="7425" width="9.85546875" style="1" customWidth="1"/>
    <col min="7426" max="7426" width="13" style="1" customWidth="1"/>
    <col min="7427" max="7427" width="1" style="1" customWidth="1"/>
    <col min="7428" max="7672" width="9.140625" style="1"/>
    <col min="7673" max="7673" width="2.140625" style="1" customWidth="1"/>
    <col min="7674" max="7674" width="8.7109375" style="1" customWidth="1"/>
    <col min="7675" max="7675" width="9.85546875" style="1" customWidth="1"/>
    <col min="7676" max="7676" width="1" style="1" customWidth="1"/>
    <col min="7677" max="7677" width="10.85546875" style="1" customWidth="1"/>
    <col min="7678" max="7678" width="54.5703125" style="1" customWidth="1"/>
    <col min="7679" max="7680" width="22.85546875" style="1" customWidth="1"/>
    <col min="7681" max="7681" width="9.85546875" style="1" customWidth="1"/>
    <col min="7682" max="7682" width="13" style="1" customWidth="1"/>
    <col min="7683" max="7683" width="1" style="1" customWidth="1"/>
    <col min="7684" max="7928" width="9.140625" style="1"/>
    <col min="7929" max="7929" width="2.140625" style="1" customWidth="1"/>
    <col min="7930" max="7930" width="8.7109375" style="1" customWidth="1"/>
    <col min="7931" max="7931" width="9.85546875" style="1" customWidth="1"/>
    <col min="7932" max="7932" width="1" style="1" customWidth="1"/>
    <col min="7933" max="7933" width="10.85546875" style="1" customWidth="1"/>
    <col min="7934" max="7934" width="54.5703125" style="1" customWidth="1"/>
    <col min="7935" max="7936" width="22.85546875" style="1" customWidth="1"/>
    <col min="7937" max="7937" width="9.85546875" style="1" customWidth="1"/>
    <col min="7938" max="7938" width="13" style="1" customWidth="1"/>
    <col min="7939" max="7939" width="1" style="1" customWidth="1"/>
    <col min="7940" max="8184" width="9.140625" style="1"/>
    <col min="8185" max="8185" width="2.140625" style="1" customWidth="1"/>
    <col min="8186" max="8186" width="8.7109375" style="1" customWidth="1"/>
    <col min="8187" max="8187" width="9.85546875" style="1" customWidth="1"/>
    <col min="8188" max="8188" width="1" style="1" customWidth="1"/>
    <col min="8189" max="8189" width="10.85546875" style="1" customWidth="1"/>
    <col min="8190" max="8190" width="54.5703125" style="1" customWidth="1"/>
    <col min="8191" max="8192" width="22.85546875" style="1" customWidth="1"/>
    <col min="8193" max="8193" width="9.85546875" style="1" customWidth="1"/>
    <col min="8194" max="8194" width="13" style="1" customWidth="1"/>
    <col min="8195" max="8195" width="1" style="1" customWidth="1"/>
    <col min="8196" max="8440" width="9.140625" style="1"/>
    <col min="8441" max="8441" width="2.140625" style="1" customWidth="1"/>
    <col min="8442" max="8442" width="8.7109375" style="1" customWidth="1"/>
    <col min="8443" max="8443" width="9.85546875" style="1" customWidth="1"/>
    <col min="8444" max="8444" width="1" style="1" customWidth="1"/>
    <col min="8445" max="8445" width="10.85546875" style="1" customWidth="1"/>
    <col min="8446" max="8446" width="54.5703125" style="1" customWidth="1"/>
    <col min="8447" max="8448" width="22.85546875" style="1" customWidth="1"/>
    <col min="8449" max="8449" width="9.85546875" style="1" customWidth="1"/>
    <col min="8450" max="8450" width="13" style="1" customWidth="1"/>
    <col min="8451" max="8451" width="1" style="1" customWidth="1"/>
    <col min="8452" max="8696" width="9.140625" style="1"/>
    <col min="8697" max="8697" width="2.140625" style="1" customWidth="1"/>
    <col min="8698" max="8698" width="8.7109375" style="1" customWidth="1"/>
    <col min="8699" max="8699" width="9.85546875" style="1" customWidth="1"/>
    <col min="8700" max="8700" width="1" style="1" customWidth="1"/>
    <col min="8701" max="8701" width="10.85546875" style="1" customWidth="1"/>
    <col min="8702" max="8702" width="54.5703125" style="1" customWidth="1"/>
    <col min="8703" max="8704" width="22.85546875" style="1" customWidth="1"/>
    <col min="8705" max="8705" width="9.85546875" style="1" customWidth="1"/>
    <col min="8706" max="8706" width="13" style="1" customWidth="1"/>
    <col min="8707" max="8707" width="1" style="1" customWidth="1"/>
    <col min="8708" max="8952" width="9.140625" style="1"/>
    <col min="8953" max="8953" width="2.140625" style="1" customWidth="1"/>
    <col min="8954" max="8954" width="8.7109375" style="1" customWidth="1"/>
    <col min="8955" max="8955" width="9.85546875" style="1" customWidth="1"/>
    <col min="8956" max="8956" width="1" style="1" customWidth="1"/>
    <col min="8957" max="8957" width="10.85546875" style="1" customWidth="1"/>
    <col min="8958" max="8958" width="54.5703125" style="1" customWidth="1"/>
    <col min="8959" max="8960" width="22.85546875" style="1" customWidth="1"/>
    <col min="8961" max="8961" width="9.85546875" style="1" customWidth="1"/>
    <col min="8962" max="8962" width="13" style="1" customWidth="1"/>
    <col min="8963" max="8963" width="1" style="1" customWidth="1"/>
    <col min="8964" max="9208" width="9.140625" style="1"/>
    <col min="9209" max="9209" width="2.140625" style="1" customWidth="1"/>
    <col min="9210" max="9210" width="8.7109375" style="1" customWidth="1"/>
    <col min="9211" max="9211" width="9.85546875" style="1" customWidth="1"/>
    <col min="9212" max="9212" width="1" style="1" customWidth="1"/>
    <col min="9213" max="9213" width="10.85546875" style="1" customWidth="1"/>
    <col min="9214" max="9214" width="54.5703125" style="1" customWidth="1"/>
    <col min="9215" max="9216" width="22.85546875" style="1" customWidth="1"/>
    <col min="9217" max="9217" width="9.85546875" style="1" customWidth="1"/>
    <col min="9218" max="9218" width="13" style="1" customWidth="1"/>
    <col min="9219" max="9219" width="1" style="1" customWidth="1"/>
    <col min="9220" max="9464" width="9.140625" style="1"/>
    <col min="9465" max="9465" width="2.140625" style="1" customWidth="1"/>
    <col min="9466" max="9466" width="8.7109375" style="1" customWidth="1"/>
    <col min="9467" max="9467" width="9.85546875" style="1" customWidth="1"/>
    <col min="9468" max="9468" width="1" style="1" customWidth="1"/>
    <col min="9469" max="9469" width="10.85546875" style="1" customWidth="1"/>
    <col min="9470" max="9470" width="54.5703125" style="1" customWidth="1"/>
    <col min="9471" max="9472" width="22.85546875" style="1" customWidth="1"/>
    <col min="9473" max="9473" width="9.85546875" style="1" customWidth="1"/>
    <col min="9474" max="9474" width="13" style="1" customWidth="1"/>
    <col min="9475" max="9475" width="1" style="1" customWidth="1"/>
    <col min="9476" max="9720" width="9.140625" style="1"/>
    <col min="9721" max="9721" width="2.140625" style="1" customWidth="1"/>
    <col min="9722" max="9722" width="8.7109375" style="1" customWidth="1"/>
    <col min="9723" max="9723" width="9.85546875" style="1" customWidth="1"/>
    <col min="9724" max="9724" width="1" style="1" customWidth="1"/>
    <col min="9725" max="9725" width="10.85546875" style="1" customWidth="1"/>
    <col min="9726" max="9726" width="54.5703125" style="1" customWidth="1"/>
    <col min="9727" max="9728" width="22.85546875" style="1" customWidth="1"/>
    <col min="9729" max="9729" width="9.85546875" style="1" customWidth="1"/>
    <col min="9730" max="9730" width="13" style="1" customWidth="1"/>
    <col min="9731" max="9731" width="1" style="1" customWidth="1"/>
    <col min="9732" max="9976" width="9.140625" style="1"/>
    <col min="9977" max="9977" width="2.140625" style="1" customWidth="1"/>
    <col min="9978" max="9978" width="8.7109375" style="1" customWidth="1"/>
    <col min="9979" max="9979" width="9.85546875" style="1" customWidth="1"/>
    <col min="9980" max="9980" width="1" style="1" customWidth="1"/>
    <col min="9981" max="9981" width="10.85546875" style="1" customWidth="1"/>
    <col min="9982" max="9982" width="54.5703125" style="1" customWidth="1"/>
    <col min="9983" max="9984" width="22.85546875" style="1" customWidth="1"/>
    <col min="9985" max="9985" width="9.85546875" style="1" customWidth="1"/>
    <col min="9986" max="9986" width="13" style="1" customWidth="1"/>
    <col min="9987" max="9987" width="1" style="1" customWidth="1"/>
    <col min="9988" max="10232" width="9.140625" style="1"/>
    <col min="10233" max="10233" width="2.140625" style="1" customWidth="1"/>
    <col min="10234" max="10234" width="8.7109375" style="1" customWidth="1"/>
    <col min="10235" max="10235" width="9.85546875" style="1" customWidth="1"/>
    <col min="10236" max="10236" width="1" style="1" customWidth="1"/>
    <col min="10237" max="10237" width="10.85546875" style="1" customWidth="1"/>
    <col min="10238" max="10238" width="54.5703125" style="1" customWidth="1"/>
    <col min="10239" max="10240" width="22.85546875" style="1" customWidth="1"/>
    <col min="10241" max="10241" width="9.85546875" style="1" customWidth="1"/>
    <col min="10242" max="10242" width="13" style="1" customWidth="1"/>
    <col min="10243" max="10243" width="1" style="1" customWidth="1"/>
    <col min="10244" max="10488" width="9.140625" style="1"/>
    <col min="10489" max="10489" width="2.140625" style="1" customWidth="1"/>
    <col min="10490" max="10490" width="8.7109375" style="1" customWidth="1"/>
    <col min="10491" max="10491" width="9.85546875" style="1" customWidth="1"/>
    <col min="10492" max="10492" width="1" style="1" customWidth="1"/>
    <col min="10493" max="10493" width="10.85546875" style="1" customWidth="1"/>
    <col min="10494" max="10494" width="54.5703125" style="1" customWidth="1"/>
    <col min="10495" max="10496" width="22.85546875" style="1" customWidth="1"/>
    <col min="10497" max="10497" width="9.85546875" style="1" customWidth="1"/>
    <col min="10498" max="10498" width="13" style="1" customWidth="1"/>
    <col min="10499" max="10499" width="1" style="1" customWidth="1"/>
    <col min="10500" max="10744" width="9.140625" style="1"/>
    <col min="10745" max="10745" width="2.140625" style="1" customWidth="1"/>
    <col min="10746" max="10746" width="8.7109375" style="1" customWidth="1"/>
    <col min="10747" max="10747" width="9.85546875" style="1" customWidth="1"/>
    <col min="10748" max="10748" width="1" style="1" customWidth="1"/>
    <col min="10749" max="10749" width="10.85546875" style="1" customWidth="1"/>
    <col min="10750" max="10750" width="54.5703125" style="1" customWidth="1"/>
    <col min="10751" max="10752" width="22.85546875" style="1" customWidth="1"/>
    <col min="10753" max="10753" width="9.85546875" style="1" customWidth="1"/>
    <col min="10754" max="10754" width="13" style="1" customWidth="1"/>
    <col min="10755" max="10755" width="1" style="1" customWidth="1"/>
    <col min="10756" max="11000" width="9.140625" style="1"/>
    <col min="11001" max="11001" width="2.140625" style="1" customWidth="1"/>
    <col min="11002" max="11002" width="8.7109375" style="1" customWidth="1"/>
    <col min="11003" max="11003" width="9.85546875" style="1" customWidth="1"/>
    <col min="11004" max="11004" width="1" style="1" customWidth="1"/>
    <col min="11005" max="11005" width="10.85546875" style="1" customWidth="1"/>
    <col min="11006" max="11006" width="54.5703125" style="1" customWidth="1"/>
    <col min="11007" max="11008" width="22.85546875" style="1" customWidth="1"/>
    <col min="11009" max="11009" width="9.85546875" style="1" customWidth="1"/>
    <col min="11010" max="11010" width="13" style="1" customWidth="1"/>
    <col min="11011" max="11011" width="1" style="1" customWidth="1"/>
    <col min="11012" max="11256" width="9.140625" style="1"/>
    <col min="11257" max="11257" width="2.140625" style="1" customWidth="1"/>
    <col min="11258" max="11258" width="8.7109375" style="1" customWidth="1"/>
    <col min="11259" max="11259" width="9.85546875" style="1" customWidth="1"/>
    <col min="11260" max="11260" width="1" style="1" customWidth="1"/>
    <col min="11261" max="11261" width="10.85546875" style="1" customWidth="1"/>
    <col min="11262" max="11262" width="54.5703125" style="1" customWidth="1"/>
    <col min="11263" max="11264" width="22.85546875" style="1" customWidth="1"/>
    <col min="11265" max="11265" width="9.85546875" style="1" customWidth="1"/>
    <col min="11266" max="11266" width="13" style="1" customWidth="1"/>
    <col min="11267" max="11267" width="1" style="1" customWidth="1"/>
    <col min="11268" max="11512" width="9.140625" style="1"/>
    <col min="11513" max="11513" width="2.140625" style="1" customWidth="1"/>
    <col min="11514" max="11514" width="8.7109375" style="1" customWidth="1"/>
    <col min="11515" max="11515" width="9.85546875" style="1" customWidth="1"/>
    <col min="11516" max="11516" width="1" style="1" customWidth="1"/>
    <col min="11517" max="11517" width="10.85546875" style="1" customWidth="1"/>
    <col min="11518" max="11518" width="54.5703125" style="1" customWidth="1"/>
    <col min="11519" max="11520" width="22.85546875" style="1" customWidth="1"/>
    <col min="11521" max="11521" width="9.85546875" style="1" customWidth="1"/>
    <col min="11522" max="11522" width="13" style="1" customWidth="1"/>
    <col min="11523" max="11523" width="1" style="1" customWidth="1"/>
    <col min="11524" max="11768" width="9.140625" style="1"/>
    <col min="11769" max="11769" width="2.140625" style="1" customWidth="1"/>
    <col min="11770" max="11770" width="8.7109375" style="1" customWidth="1"/>
    <col min="11771" max="11771" width="9.85546875" style="1" customWidth="1"/>
    <col min="11772" max="11772" width="1" style="1" customWidth="1"/>
    <col min="11773" max="11773" width="10.85546875" style="1" customWidth="1"/>
    <col min="11774" max="11774" width="54.5703125" style="1" customWidth="1"/>
    <col min="11775" max="11776" width="22.85546875" style="1" customWidth="1"/>
    <col min="11777" max="11777" width="9.85546875" style="1" customWidth="1"/>
    <col min="11778" max="11778" width="13" style="1" customWidth="1"/>
    <col min="11779" max="11779" width="1" style="1" customWidth="1"/>
    <col min="11780" max="12024" width="9.140625" style="1"/>
    <col min="12025" max="12025" width="2.140625" style="1" customWidth="1"/>
    <col min="12026" max="12026" width="8.7109375" style="1" customWidth="1"/>
    <col min="12027" max="12027" width="9.85546875" style="1" customWidth="1"/>
    <col min="12028" max="12028" width="1" style="1" customWidth="1"/>
    <col min="12029" max="12029" width="10.85546875" style="1" customWidth="1"/>
    <col min="12030" max="12030" width="54.5703125" style="1" customWidth="1"/>
    <col min="12031" max="12032" width="22.85546875" style="1" customWidth="1"/>
    <col min="12033" max="12033" width="9.85546875" style="1" customWidth="1"/>
    <col min="12034" max="12034" width="13" style="1" customWidth="1"/>
    <col min="12035" max="12035" width="1" style="1" customWidth="1"/>
    <col min="12036" max="12280" width="9.140625" style="1"/>
    <col min="12281" max="12281" width="2.140625" style="1" customWidth="1"/>
    <col min="12282" max="12282" width="8.7109375" style="1" customWidth="1"/>
    <col min="12283" max="12283" width="9.85546875" style="1" customWidth="1"/>
    <col min="12284" max="12284" width="1" style="1" customWidth="1"/>
    <col min="12285" max="12285" width="10.85546875" style="1" customWidth="1"/>
    <col min="12286" max="12286" width="54.5703125" style="1" customWidth="1"/>
    <col min="12287" max="12288" width="22.85546875" style="1" customWidth="1"/>
    <col min="12289" max="12289" width="9.85546875" style="1" customWidth="1"/>
    <col min="12290" max="12290" width="13" style="1" customWidth="1"/>
    <col min="12291" max="12291" width="1" style="1" customWidth="1"/>
    <col min="12292" max="12536" width="9.140625" style="1"/>
    <col min="12537" max="12537" width="2.140625" style="1" customWidth="1"/>
    <col min="12538" max="12538" width="8.7109375" style="1" customWidth="1"/>
    <col min="12539" max="12539" width="9.85546875" style="1" customWidth="1"/>
    <col min="12540" max="12540" width="1" style="1" customWidth="1"/>
    <col min="12541" max="12541" width="10.85546875" style="1" customWidth="1"/>
    <col min="12542" max="12542" width="54.5703125" style="1" customWidth="1"/>
    <col min="12543" max="12544" width="22.85546875" style="1" customWidth="1"/>
    <col min="12545" max="12545" width="9.85546875" style="1" customWidth="1"/>
    <col min="12546" max="12546" width="13" style="1" customWidth="1"/>
    <col min="12547" max="12547" width="1" style="1" customWidth="1"/>
    <col min="12548" max="12792" width="9.140625" style="1"/>
    <col min="12793" max="12793" width="2.140625" style="1" customWidth="1"/>
    <col min="12794" max="12794" width="8.7109375" style="1" customWidth="1"/>
    <col min="12795" max="12795" width="9.85546875" style="1" customWidth="1"/>
    <col min="12796" max="12796" width="1" style="1" customWidth="1"/>
    <col min="12797" max="12797" width="10.85546875" style="1" customWidth="1"/>
    <col min="12798" max="12798" width="54.5703125" style="1" customWidth="1"/>
    <col min="12799" max="12800" width="22.85546875" style="1" customWidth="1"/>
    <col min="12801" max="12801" width="9.85546875" style="1" customWidth="1"/>
    <col min="12802" max="12802" width="13" style="1" customWidth="1"/>
    <col min="12803" max="12803" width="1" style="1" customWidth="1"/>
    <col min="12804" max="13048" width="9.140625" style="1"/>
    <col min="13049" max="13049" width="2.140625" style="1" customWidth="1"/>
    <col min="13050" max="13050" width="8.7109375" style="1" customWidth="1"/>
    <col min="13051" max="13051" width="9.85546875" style="1" customWidth="1"/>
    <col min="13052" max="13052" width="1" style="1" customWidth="1"/>
    <col min="13053" max="13053" width="10.85546875" style="1" customWidth="1"/>
    <col min="13054" max="13054" width="54.5703125" style="1" customWidth="1"/>
    <col min="13055" max="13056" width="22.85546875" style="1" customWidth="1"/>
    <col min="13057" max="13057" width="9.85546875" style="1" customWidth="1"/>
    <col min="13058" max="13058" width="13" style="1" customWidth="1"/>
    <col min="13059" max="13059" width="1" style="1" customWidth="1"/>
    <col min="13060" max="13304" width="9.140625" style="1"/>
    <col min="13305" max="13305" width="2.140625" style="1" customWidth="1"/>
    <col min="13306" max="13306" width="8.7109375" style="1" customWidth="1"/>
    <col min="13307" max="13307" width="9.85546875" style="1" customWidth="1"/>
    <col min="13308" max="13308" width="1" style="1" customWidth="1"/>
    <col min="13309" max="13309" width="10.85546875" style="1" customWidth="1"/>
    <col min="13310" max="13310" width="54.5703125" style="1" customWidth="1"/>
    <col min="13311" max="13312" width="22.85546875" style="1" customWidth="1"/>
    <col min="13313" max="13313" width="9.85546875" style="1" customWidth="1"/>
    <col min="13314" max="13314" width="13" style="1" customWidth="1"/>
    <col min="13315" max="13315" width="1" style="1" customWidth="1"/>
    <col min="13316" max="13560" width="9.140625" style="1"/>
    <col min="13561" max="13561" width="2.140625" style="1" customWidth="1"/>
    <col min="13562" max="13562" width="8.7109375" style="1" customWidth="1"/>
    <col min="13563" max="13563" width="9.85546875" style="1" customWidth="1"/>
    <col min="13564" max="13564" width="1" style="1" customWidth="1"/>
    <col min="13565" max="13565" width="10.85546875" style="1" customWidth="1"/>
    <col min="13566" max="13566" width="54.5703125" style="1" customWidth="1"/>
    <col min="13567" max="13568" width="22.85546875" style="1" customWidth="1"/>
    <col min="13569" max="13569" width="9.85546875" style="1" customWidth="1"/>
    <col min="13570" max="13570" width="13" style="1" customWidth="1"/>
    <col min="13571" max="13571" width="1" style="1" customWidth="1"/>
    <col min="13572" max="13816" width="9.140625" style="1"/>
    <col min="13817" max="13817" width="2.140625" style="1" customWidth="1"/>
    <col min="13818" max="13818" width="8.7109375" style="1" customWidth="1"/>
    <col min="13819" max="13819" width="9.85546875" style="1" customWidth="1"/>
    <col min="13820" max="13820" width="1" style="1" customWidth="1"/>
    <col min="13821" max="13821" width="10.85546875" style="1" customWidth="1"/>
    <col min="13822" max="13822" width="54.5703125" style="1" customWidth="1"/>
    <col min="13823" max="13824" width="22.85546875" style="1" customWidth="1"/>
    <col min="13825" max="13825" width="9.85546875" style="1" customWidth="1"/>
    <col min="13826" max="13826" width="13" style="1" customWidth="1"/>
    <col min="13827" max="13827" width="1" style="1" customWidth="1"/>
    <col min="13828" max="14072" width="9.140625" style="1"/>
    <col min="14073" max="14073" width="2.140625" style="1" customWidth="1"/>
    <col min="14074" max="14074" width="8.7109375" style="1" customWidth="1"/>
    <col min="14075" max="14075" width="9.85546875" style="1" customWidth="1"/>
    <col min="14076" max="14076" width="1" style="1" customWidth="1"/>
    <col min="14077" max="14077" width="10.85546875" style="1" customWidth="1"/>
    <col min="14078" max="14078" width="54.5703125" style="1" customWidth="1"/>
    <col min="14079" max="14080" width="22.85546875" style="1" customWidth="1"/>
    <col min="14081" max="14081" width="9.85546875" style="1" customWidth="1"/>
    <col min="14082" max="14082" width="13" style="1" customWidth="1"/>
    <col min="14083" max="14083" width="1" style="1" customWidth="1"/>
    <col min="14084" max="14328" width="9.140625" style="1"/>
    <col min="14329" max="14329" width="2.140625" style="1" customWidth="1"/>
    <col min="14330" max="14330" width="8.7109375" style="1" customWidth="1"/>
    <col min="14331" max="14331" width="9.85546875" style="1" customWidth="1"/>
    <col min="14332" max="14332" width="1" style="1" customWidth="1"/>
    <col min="14333" max="14333" width="10.85546875" style="1" customWidth="1"/>
    <col min="14334" max="14334" width="54.5703125" style="1" customWidth="1"/>
    <col min="14335" max="14336" width="22.85546875" style="1" customWidth="1"/>
    <col min="14337" max="14337" width="9.85546875" style="1" customWidth="1"/>
    <col min="14338" max="14338" width="13" style="1" customWidth="1"/>
    <col min="14339" max="14339" width="1" style="1" customWidth="1"/>
    <col min="14340" max="14584" width="9.140625" style="1"/>
    <col min="14585" max="14585" width="2.140625" style="1" customWidth="1"/>
    <col min="14586" max="14586" width="8.7109375" style="1" customWidth="1"/>
    <col min="14587" max="14587" width="9.85546875" style="1" customWidth="1"/>
    <col min="14588" max="14588" width="1" style="1" customWidth="1"/>
    <col min="14589" max="14589" width="10.85546875" style="1" customWidth="1"/>
    <col min="14590" max="14590" width="54.5703125" style="1" customWidth="1"/>
    <col min="14591" max="14592" width="22.85546875" style="1" customWidth="1"/>
    <col min="14593" max="14593" width="9.85546875" style="1" customWidth="1"/>
    <col min="14594" max="14594" width="13" style="1" customWidth="1"/>
    <col min="14595" max="14595" width="1" style="1" customWidth="1"/>
    <col min="14596" max="14840" width="9.140625" style="1"/>
    <col min="14841" max="14841" width="2.140625" style="1" customWidth="1"/>
    <col min="14842" max="14842" width="8.7109375" style="1" customWidth="1"/>
    <col min="14843" max="14843" width="9.85546875" style="1" customWidth="1"/>
    <col min="14844" max="14844" width="1" style="1" customWidth="1"/>
    <col min="14845" max="14845" width="10.85546875" style="1" customWidth="1"/>
    <col min="14846" max="14846" width="54.5703125" style="1" customWidth="1"/>
    <col min="14847" max="14848" width="22.85546875" style="1" customWidth="1"/>
    <col min="14849" max="14849" width="9.85546875" style="1" customWidth="1"/>
    <col min="14850" max="14850" width="13" style="1" customWidth="1"/>
    <col min="14851" max="14851" width="1" style="1" customWidth="1"/>
    <col min="14852" max="15096" width="9.140625" style="1"/>
    <col min="15097" max="15097" width="2.140625" style="1" customWidth="1"/>
    <col min="15098" max="15098" width="8.7109375" style="1" customWidth="1"/>
    <col min="15099" max="15099" width="9.85546875" style="1" customWidth="1"/>
    <col min="15100" max="15100" width="1" style="1" customWidth="1"/>
    <col min="15101" max="15101" width="10.85546875" style="1" customWidth="1"/>
    <col min="15102" max="15102" width="54.5703125" style="1" customWidth="1"/>
    <col min="15103" max="15104" width="22.85546875" style="1" customWidth="1"/>
    <col min="15105" max="15105" width="9.85546875" style="1" customWidth="1"/>
    <col min="15106" max="15106" width="13" style="1" customWidth="1"/>
    <col min="15107" max="15107" width="1" style="1" customWidth="1"/>
    <col min="15108" max="15352" width="9.140625" style="1"/>
    <col min="15353" max="15353" width="2.140625" style="1" customWidth="1"/>
    <col min="15354" max="15354" width="8.7109375" style="1" customWidth="1"/>
    <col min="15355" max="15355" width="9.85546875" style="1" customWidth="1"/>
    <col min="15356" max="15356" width="1" style="1" customWidth="1"/>
    <col min="15357" max="15357" width="10.85546875" style="1" customWidth="1"/>
    <col min="15358" max="15358" width="54.5703125" style="1" customWidth="1"/>
    <col min="15359" max="15360" width="22.85546875" style="1" customWidth="1"/>
    <col min="15361" max="15361" width="9.85546875" style="1" customWidth="1"/>
    <col min="15362" max="15362" width="13" style="1" customWidth="1"/>
    <col min="15363" max="15363" width="1" style="1" customWidth="1"/>
    <col min="15364" max="15608" width="9.140625" style="1"/>
    <col min="15609" max="15609" width="2.140625" style="1" customWidth="1"/>
    <col min="15610" max="15610" width="8.7109375" style="1" customWidth="1"/>
    <col min="15611" max="15611" width="9.85546875" style="1" customWidth="1"/>
    <col min="15612" max="15612" width="1" style="1" customWidth="1"/>
    <col min="15613" max="15613" width="10.85546875" style="1" customWidth="1"/>
    <col min="15614" max="15614" width="54.5703125" style="1" customWidth="1"/>
    <col min="15615" max="15616" width="22.85546875" style="1" customWidth="1"/>
    <col min="15617" max="15617" width="9.85546875" style="1" customWidth="1"/>
    <col min="15618" max="15618" width="13" style="1" customWidth="1"/>
    <col min="15619" max="15619" width="1" style="1" customWidth="1"/>
    <col min="15620" max="15864" width="9.140625" style="1"/>
    <col min="15865" max="15865" width="2.140625" style="1" customWidth="1"/>
    <col min="15866" max="15866" width="8.7109375" style="1" customWidth="1"/>
    <col min="15867" max="15867" width="9.85546875" style="1" customWidth="1"/>
    <col min="15868" max="15868" width="1" style="1" customWidth="1"/>
    <col min="15869" max="15869" width="10.85546875" style="1" customWidth="1"/>
    <col min="15870" max="15870" width="54.5703125" style="1" customWidth="1"/>
    <col min="15871" max="15872" width="22.85546875" style="1" customWidth="1"/>
    <col min="15873" max="15873" width="9.85546875" style="1" customWidth="1"/>
    <col min="15874" max="15874" width="13" style="1" customWidth="1"/>
    <col min="15875" max="15875" width="1" style="1" customWidth="1"/>
    <col min="15876" max="16120" width="9.140625" style="1"/>
    <col min="16121" max="16121" width="2.140625" style="1" customWidth="1"/>
    <col min="16122" max="16122" width="8.7109375" style="1" customWidth="1"/>
    <col min="16123" max="16123" width="9.85546875" style="1" customWidth="1"/>
    <col min="16124" max="16124" width="1" style="1" customWidth="1"/>
    <col min="16125" max="16125" width="10.85546875" style="1" customWidth="1"/>
    <col min="16126" max="16126" width="54.5703125" style="1" customWidth="1"/>
    <col min="16127" max="16128" width="22.85546875" style="1" customWidth="1"/>
    <col min="16129" max="16129" width="9.85546875" style="1" customWidth="1"/>
    <col min="16130" max="16130" width="13" style="1" customWidth="1"/>
    <col min="16131" max="16131" width="1" style="1" customWidth="1"/>
    <col min="16132" max="16384" width="9.140625" style="1"/>
  </cols>
  <sheetData>
    <row r="1" spans="1:12" ht="15" customHeight="1" x14ac:dyDescent="0.2">
      <c r="I1" s="1838" t="s">
        <v>1450</v>
      </c>
      <c r="J1" s="1838"/>
      <c r="K1" s="1838"/>
      <c r="L1" s="1838"/>
    </row>
    <row r="3" spans="1:12" ht="39" customHeight="1" x14ac:dyDescent="0.2">
      <c r="A3" s="1839" t="s">
        <v>1463</v>
      </c>
      <c r="B3" s="1840"/>
      <c r="C3" s="1840"/>
      <c r="D3" s="1840"/>
      <c r="E3" s="1840"/>
      <c r="F3" s="1840"/>
      <c r="G3" s="1840"/>
      <c r="H3" s="1840"/>
      <c r="I3" s="1840"/>
      <c r="J3" s="1840"/>
      <c r="K3" s="1840"/>
      <c r="L3" s="1840"/>
    </row>
    <row r="4" spans="1:12" ht="34.5" customHeight="1" x14ac:dyDescent="0.2">
      <c r="A4" s="1830" t="s">
        <v>0</v>
      </c>
      <c r="B4" s="1830" t="s">
        <v>1</v>
      </c>
      <c r="C4" s="1830" t="s">
        <v>2</v>
      </c>
      <c r="D4" s="1830" t="s">
        <v>3</v>
      </c>
      <c r="E4" s="1830" t="s">
        <v>1459</v>
      </c>
      <c r="F4" s="1841" t="s">
        <v>4</v>
      </c>
      <c r="G4" s="1842" t="s">
        <v>1460</v>
      </c>
      <c r="H4" s="1831" t="s">
        <v>1490</v>
      </c>
      <c r="I4" s="1833" t="s">
        <v>1357</v>
      </c>
      <c r="J4" s="1835" t="s">
        <v>1531</v>
      </c>
      <c r="K4" s="1836"/>
      <c r="L4" s="1837"/>
    </row>
    <row r="5" spans="1:12" ht="19.5" x14ac:dyDescent="0.2">
      <c r="A5" s="1830"/>
      <c r="B5" s="1830"/>
      <c r="C5" s="1830"/>
      <c r="D5" s="1830"/>
      <c r="E5" s="1830"/>
      <c r="F5" s="1841"/>
      <c r="G5" s="1842"/>
      <c r="H5" s="1832"/>
      <c r="I5" s="1834"/>
      <c r="J5" s="1278" t="s">
        <v>1461</v>
      </c>
      <c r="K5" s="1278" t="s">
        <v>1462</v>
      </c>
      <c r="L5" s="1278" t="s">
        <v>1364</v>
      </c>
    </row>
    <row r="6" spans="1:12" x14ac:dyDescent="0.2">
      <c r="A6" s="1582" t="s">
        <v>5</v>
      </c>
      <c r="B6" s="1582"/>
      <c r="C6" s="1582"/>
      <c r="D6" s="1583" t="s">
        <v>6</v>
      </c>
      <c r="E6" s="1584">
        <f>E7+E9</f>
        <v>51000</v>
      </c>
      <c r="F6" s="1585">
        <f t="shared" ref="F6:L6" si="0">F7+F9</f>
        <v>961215.74</v>
      </c>
      <c r="G6" s="1586">
        <f t="shared" si="0"/>
        <v>1012215.74</v>
      </c>
      <c r="H6" s="1586">
        <f t="shared" si="0"/>
        <v>1016939.5</v>
      </c>
      <c r="I6" s="1587">
        <f>H6/G6</f>
        <v>1.0046667521688608</v>
      </c>
      <c r="J6" s="1584">
        <f t="shared" si="0"/>
        <v>7432.15</v>
      </c>
      <c r="K6" s="1584">
        <f t="shared" si="0"/>
        <v>7432.15</v>
      </c>
      <c r="L6" s="1584">
        <f t="shared" si="0"/>
        <v>112.1</v>
      </c>
    </row>
    <row r="7" spans="1:12" ht="15" x14ac:dyDescent="0.2">
      <c r="A7" s="2"/>
      <c r="B7" s="1600" t="s">
        <v>8</v>
      </c>
      <c r="C7" s="1601"/>
      <c r="D7" s="1602" t="s">
        <v>9</v>
      </c>
      <c r="E7" s="1603">
        <f>E8</f>
        <v>0</v>
      </c>
      <c r="F7" s="1604">
        <f t="shared" ref="F7:L7" si="1">F8</f>
        <v>116250</v>
      </c>
      <c r="G7" s="1605" t="str">
        <f t="shared" si="1"/>
        <v>116 250,00</v>
      </c>
      <c r="H7" s="1605">
        <f t="shared" si="1"/>
        <v>116250</v>
      </c>
      <c r="I7" s="1631">
        <f>H7/G7</f>
        <v>1</v>
      </c>
      <c r="J7" s="1603">
        <f t="shared" si="1"/>
        <v>0</v>
      </c>
      <c r="K7" s="1603">
        <f t="shared" si="1"/>
        <v>0</v>
      </c>
      <c r="L7" s="1603">
        <f t="shared" si="1"/>
        <v>0</v>
      </c>
    </row>
    <row r="8" spans="1:12" ht="56.25" x14ac:dyDescent="0.2">
      <c r="A8" s="3"/>
      <c r="B8" s="3"/>
      <c r="C8" s="4" t="s">
        <v>11</v>
      </c>
      <c r="D8" s="5" t="s">
        <v>12</v>
      </c>
      <c r="E8" s="1280">
        <v>0</v>
      </c>
      <c r="F8" s="1279">
        <f>G8-E8</f>
        <v>116250</v>
      </c>
      <c r="G8" s="1431" t="s">
        <v>10</v>
      </c>
      <c r="H8" s="1432">
        <v>116250</v>
      </c>
      <c r="I8" s="1430">
        <f>H8/G8</f>
        <v>1</v>
      </c>
      <c r="J8" s="1281">
        <v>0</v>
      </c>
      <c r="K8" s="1281">
        <v>0</v>
      </c>
      <c r="L8" s="1281">
        <v>0</v>
      </c>
    </row>
    <row r="9" spans="1:12" ht="15" x14ac:dyDescent="0.2">
      <c r="A9" s="2"/>
      <c r="B9" s="1600" t="s">
        <v>13</v>
      </c>
      <c r="C9" s="1601"/>
      <c r="D9" s="1602" t="s">
        <v>14</v>
      </c>
      <c r="E9" s="1603">
        <f>E10+E12+E11</f>
        <v>51000</v>
      </c>
      <c r="F9" s="1604">
        <f t="shared" ref="F9:L9" si="2">F10+F12+F11</f>
        <v>844965.74</v>
      </c>
      <c r="G9" s="1605">
        <f t="shared" si="2"/>
        <v>895965.74</v>
      </c>
      <c r="H9" s="1605">
        <f t="shared" si="2"/>
        <v>900689.5</v>
      </c>
      <c r="I9" s="1606">
        <f t="shared" ref="I9:I72" si="3">H9/G9</f>
        <v>1.0052722551645781</v>
      </c>
      <c r="J9" s="1603">
        <f t="shared" si="2"/>
        <v>7432.15</v>
      </c>
      <c r="K9" s="1603">
        <f t="shared" si="2"/>
        <v>7432.15</v>
      </c>
      <c r="L9" s="1603">
        <f t="shared" si="2"/>
        <v>112.1</v>
      </c>
    </row>
    <row r="10" spans="1:12" ht="67.5" x14ac:dyDescent="0.2">
      <c r="A10" s="3"/>
      <c r="B10" s="3"/>
      <c r="C10" s="4" t="s">
        <v>15</v>
      </c>
      <c r="D10" s="5" t="s">
        <v>16</v>
      </c>
      <c r="E10" s="1280">
        <v>51000</v>
      </c>
      <c r="F10" s="1279">
        <f>G10-E10</f>
        <v>0</v>
      </c>
      <c r="G10" s="1431" t="s">
        <v>17</v>
      </c>
      <c r="H10" s="1432">
        <v>55405.3</v>
      </c>
      <c r="I10" s="1430">
        <f t="shared" si="3"/>
        <v>1.0863784313725491</v>
      </c>
      <c r="J10" s="1281">
        <v>4871.51</v>
      </c>
      <c r="K10" s="1281">
        <v>4871.51</v>
      </c>
      <c r="L10" s="1281">
        <v>112.1</v>
      </c>
    </row>
    <row r="11" spans="1:12" x14ac:dyDescent="0.2">
      <c r="A11" s="1282"/>
      <c r="B11" s="1282"/>
      <c r="C11" s="1284" t="s">
        <v>54</v>
      </c>
      <c r="D11" s="1277" t="s">
        <v>55</v>
      </c>
      <c r="E11" s="1280">
        <v>0</v>
      </c>
      <c r="F11" s="1279">
        <v>0</v>
      </c>
      <c r="G11" s="1431">
        <v>0</v>
      </c>
      <c r="H11" s="1432">
        <v>318.45999999999998</v>
      </c>
      <c r="I11" s="1430">
        <v>0</v>
      </c>
      <c r="J11" s="1281">
        <v>2560.64</v>
      </c>
      <c r="K11" s="1281">
        <v>2560.64</v>
      </c>
      <c r="L11" s="1281">
        <v>0</v>
      </c>
    </row>
    <row r="12" spans="1:12" ht="56.25" x14ac:dyDescent="0.2">
      <c r="A12" s="3"/>
      <c r="B12" s="3"/>
      <c r="C12" s="4" t="s">
        <v>18</v>
      </c>
      <c r="D12" s="5" t="s">
        <v>19</v>
      </c>
      <c r="E12" s="1280">
        <v>0</v>
      </c>
      <c r="F12" s="1279">
        <f>G12-E12</f>
        <v>844965.74</v>
      </c>
      <c r="G12" s="1431" t="s">
        <v>20</v>
      </c>
      <c r="H12" s="1432">
        <v>844965.74</v>
      </c>
      <c r="I12" s="1430">
        <f t="shared" si="3"/>
        <v>1</v>
      </c>
      <c r="J12" s="1281">
        <v>0</v>
      </c>
      <c r="K12" s="1281">
        <v>0</v>
      </c>
      <c r="L12" s="1281">
        <v>0</v>
      </c>
    </row>
    <row r="13" spans="1:12" x14ac:dyDescent="0.2">
      <c r="A13" s="1588" t="s">
        <v>21</v>
      </c>
      <c r="B13" s="1588"/>
      <c r="C13" s="1588"/>
      <c r="D13" s="1589" t="s">
        <v>22</v>
      </c>
      <c r="E13" s="1590">
        <f>E14</f>
        <v>25000</v>
      </c>
      <c r="F13" s="1591">
        <f t="shared" ref="F13:L13" si="4">F14</f>
        <v>0</v>
      </c>
      <c r="G13" s="1592" t="str">
        <f t="shared" si="4"/>
        <v>25 000,00</v>
      </c>
      <c r="H13" s="1592">
        <f t="shared" si="4"/>
        <v>25885</v>
      </c>
      <c r="I13" s="1593">
        <f t="shared" si="3"/>
        <v>1.0354000000000001</v>
      </c>
      <c r="J13" s="1590">
        <f t="shared" si="4"/>
        <v>0</v>
      </c>
      <c r="K13" s="1590">
        <f t="shared" si="4"/>
        <v>0</v>
      </c>
      <c r="L13" s="1590">
        <f t="shared" si="4"/>
        <v>0</v>
      </c>
    </row>
    <row r="14" spans="1:12" ht="15" x14ac:dyDescent="0.2">
      <c r="A14" s="2"/>
      <c r="B14" s="1600" t="s">
        <v>24</v>
      </c>
      <c r="C14" s="1601"/>
      <c r="D14" s="1602" t="s">
        <v>14</v>
      </c>
      <c r="E14" s="1603">
        <f>E15</f>
        <v>25000</v>
      </c>
      <c r="F14" s="1604">
        <f t="shared" ref="F14:L14" si="5">F15</f>
        <v>0</v>
      </c>
      <c r="G14" s="1605" t="str">
        <f t="shared" si="5"/>
        <v>25 000,00</v>
      </c>
      <c r="H14" s="1605">
        <f t="shared" si="5"/>
        <v>25885</v>
      </c>
      <c r="I14" s="1606">
        <f t="shared" si="3"/>
        <v>1.0354000000000001</v>
      </c>
      <c r="J14" s="1603">
        <f t="shared" si="5"/>
        <v>0</v>
      </c>
      <c r="K14" s="1603">
        <f t="shared" si="5"/>
        <v>0</v>
      </c>
      <c r="L14" s="1603">
        <f t="shared" si="5"/>
        <v>0</v>
      </c>
    </row>
    <row r="15" spans="1:12" x14ac:dyDescent="0.2">
      <c r="A15" s="3"/>
      <c r="B15" s="3"/>
      <c r="C15" s="4" t="s">
        <v>25</v>
      </c>
      <c r="D15" s="5" t="s">
        <v>26</v>
      </c>
      <c r="E15" s="1280">
        <v>25000</v>
      </c>
      <c r="F15" s="1279">
        <f>G15-E15</f>
        <v>0</v>
      </c>
      <c r="G15" s="1431" t="s">
        <v>23</v>
      </c>
      <c r="H15" s="1432">
        <v>25885</v>
      </c>
      <c r="I15" s="1430">
        <f t="shared" si="3"/>
        <v>1.0354000000000001</v>
      </c>
      <c r="J15" s="1281">
        <v>0</v>
      </c>
      <c r="K15" s="1281">
        <v>0</v>
      </c>
      <c r="L15" s="1281">
        <v>0</v>
      </c>
    </row>
    <row r="16" spans="1:12" x14ac:dyDescent="0.2">
      <c r="A16" s="1588" t="s">
        <v>27</v>
      </c>
      <c r="B16" s="1588"/>
      <c r="C16" s="1588"/>
      <c r="D16" s="1589" t="s">
        <v>28</v>
      </c>
      <c r="E16" s="1590">
        <f>E19+E17</f>
        <v>15000</v>
      </c>
      <c r="F16" s="1591">
        <f t="shared" ref="F16:L16" si="6">F19+F17</f>
        <v>0</v>
      </c>
      <c r="G16" s="1592">
        <f t="shared" si="6"/>
        <v>15000</v>
      </c>
      <c r="H16" s="1592">
        <f t="shared" si="6"/>
        <v>39864.080000000002</v>
      </c>
      <c r="I16" s="1593">
        <f t="shared" si="3"/>
        <v>2.6576053333333336</v>
      </c>
      <c r="J16" s="1590">
        <f t="shared" si="6"/>
        <v>1398.47</v>
      </c>
      <c r="K16" s="1590">
        <f t="shared" si="6"/>
        <v>0</v>
      </c>
      <c r="L16" s="1590">
        <f t="shared" si="6"/>
        <v>0</v>
      </c>
    </row>
    <row r="17" spans="1:12" s="1287" customFormat="1" x14ac:dyDescent="0.2">
      <c r="A17" s="1285"/>
      <c r="B17" s="1629" t="s">
        <v>376</v>
      </c>
      <c r="C17" s="1629"/>
      <c r="D17" s="1630" t="s">
        <v>377</v>
      </c>
      <c r="E17" s="1603">
        <f>E18</f>
        <v>0</v>
      </c>
      <c r="F17" s="1604">
        <f t="shared" ref="F17:L17" si="7">F18</f>
        <v>0</v>
      </c>
      <c r="G17" s="1605">
        <f t="shared" si="7"/>
        <v>0</v>
      </c>
      <c r="H17" s="1605">
        <f t="shared" si="7"/>
        <v>185</v>
      </c>
      <c r="I17" s="1606">
        <v>0</v>
      </c>
      <c r="J17" s="1603">
        <f t="shared" si="7"/>
        <v>0</v>
      </c>
      <c r="K17" s="1603">
        <f t="shared" si="7"/>
        <v>0</v>
      </c>
      <c r="L17" s="1603">
        <f t="shared" si="7"/>
        <v>0</v>
      </c>
    </row>
    <row r="18" spans="1:12" s="1287" customFormat="1" ht="67.5" x14ac:dyDescent="0.2">
      <c r="A18" s="1285"/>
      <c r="B18" s="1286"/>
      <c r="C18" s="1288" t="s">
        <v>240</v>
      </c>
      <c r="D18" s="5" t="s">
        <v>241</v>
      </c>
      <c r="E18" s="1289">
        <v>0</v>
      </c>
      <c r="F18" s="1426">
        <v>0</v>
      </c>
      <c r="G18" s="1433">
        <v>0</v>
      </c>
      <c r="H18" s="1433">
        <v>185</v>
      </c>
      <c r="I18" s="1430">
        <v>0</v>
      </c>
      <c r="J18" s="1289">
        <v>0</v>
      </c>
      <c r="K18" s="1289">
        <v>0</v>
      </c>
      <c r="L18" s="1289">
        <v>0</v>
      </c>
    </row>
    <row r="19" spans="1:12" ht="15" x14ac:dyDescent="0.2">
      <c r="A19" s="2"/>
      <c r="B19" s="1600" t="s">
        <v>30</v>
      </c>
      <c r="C19" s="1601"/>
      <c r="D19" s="1602" t="s">
        <v>31</v>
      </c>
      <c r="E19" s="1603">
        <f>E20+E21+E22+E23</f>
        <v>15000</v>
      </c>
      <c r="F19" s="1604">
        <f t="shared" ref="F19:L19" si="8">F20+F21+F22+F23</f>
        <v>0</v>
      </c>
      <c r="G19" s="1605">
        <f t="shared" si="8"/>
        <v>15000</v>
      </c>
      <c r="H19" s="1605">
        <f t="shared" si="8"/>
        <v>39679.08</v>
      </c>
      <c r="I19" s="1606">
        <f t="shared" si="3"/>
        <v>2.6452720000000003</v>
      </c>
      <c r="J19" s="1603">
        <f t="shared" si="8"/>
        <v>1398.47</v>
      </c>
      <c r="K19" s="1603">
        <f t="shared" si="8"/>
        <v>0</v>
      </c>
      <c r="L19" s="1603">
        <f t="shared" si="8"/>
        <v>0</v>
      </c>
    </row>
    <row r="20" spans="1:12" ht="45" x14ac:dyDescent="0.2">
      <c r="A20" s="3"/>
      <c r="B20" s="3"/>
      <c r="C20" s="1450" t="s">
        <v>32</v>
      </c>
      <c r="D20" s="1451" t="s">
        <v>33</v>
      </c>
      <c r="E20" s="1452">
        <v>15000</v>
      </c>
      <c r="F20" s="1453">
        <f>G20-E20</f>
        <v>0</v>
      </c>
      <c r="G20" s="1454" t="s">
        <v>29</v>
      </c>
      <c r="H20" s="1432">
        <v>39462.44</v>
      </c>
      <c r="I20" s="1430">
        <f t="shared" si="3"/>
        <v>2.6308293333333337</v>
      </c>
      <c r="J20" s="1281">
        <v>1398.47</v>
      </c>
      <c r="K20" s="1281">
        <v>0</v>
      </c>
      <c r="L20" s="1281">
        <v>0</v>
      </c>
    </row>
    <row r="21" spans="1:12" ht="22.5" x14ac:dyDescent="0.2">
      <c r="A21" s="1282"/>
      <c r="B21" s="1290"/>
      <c r="C21" s="1296" t="s">
        <v>77</v>
      </c>
      <c r="D21" s="1297" t="s">
        <v>78</v>
      </c>
      <c r="E21" s="1298">
        <v>0</v>
      </c>
      <c r="F21" s="1427">
        <v>0</v>
      </c>
      <c r="G21" s="1436">
        <v>0</v>
      </c>
      <c r="H21" s="1432">
        <v>200</v>
      </c>
      <c r="I21" s="1430">
        <v>0</v>
      </c>
      <c r="J21" s="1281">
        <v>0</v>
      </c>
      <c r="K21" s="1281">
        <v>0</v>
      </c>
      <c r="L21" s="1281">
        <v>0</v>
      </c>
    </row>
    <row r="22" spans="1:12" ht="22.5" x14ac:dyDescent="0.2">
      <c r="A22" s="1282"/>
      <c r="B22" s="1290"/>
      <c r="C22" s="1296" t="s">
        <v>144</v>
      </c>
      <c r="D22" s="1297" t="s">
        <v>145</v>
      </c>
      <c r="E22" s="1298">
        <v>0</v>
      </c>
      <c r="F22" s="1427">
        <v>0</v>
      </c>
      <c r="G22" s="1436">
        <v>0</v>
      </c>
      <c r="H22" s="1432">
        <v>11.6</v>
      </c>
      <c r="I22" s="1430">
        <v>0</v>
      </c>
      <c r="J22" s="1281">
        <v>0</v>
      </c>
      <c r="K22" s="1281">
        <v>0</v>
      </c>
      <c r="L22" s="1281">
        <v>0</v>
      </c>
    </row>
    <row r="23" spans="1:12" ht="22.5" x14ac:dyDescent="0.2">
      <c r="A23" s="1282"/>
      <c r="B23" s="1290"/>
      <c r="C23" s="1296" t="s">
        <v>51</v>
      </c>
      <c r="D23" s="1297" t="s">
        <v>52</v>
      </c>
      <c r="E23" s="1298">
        <v>0</v>
      </c>
      <c r="F23" s="1427">
        <v>0</v>
      </c>
      <c r="G23" s="1436">
        <v>0</v>
      </c>
      <c r="H23" s="1432">
        <v>5.04</v>
      </c>
      <c r="I23" s="1430">
        <v>0</v>
      </c>
      <c r="J23" s="1281">
        <v>0</v>
      </c>
      <c r="K23" s="1281">
        <v>0</v>
      </c>
      <c r="L23" s="1281">
        <v>0</v>
      </c>
    </row>
    <row r="24" spans="1:12" x14ac:dyDescent="0.2">
      <c r="A24" s="1588" t="s">
        <v>34</v>
      </c>
      <c r="B24" s="1588"/>
      <c r="C24" s="1582"/>
      <c r="D24" s="1583" t="s">
        <v>35</v>
      </c>
      <c r="E24" s="1584">
        <f>E25</f>
        <v>1462000</v>
      </c>
      <c r="F24" s="1585">
        <f t="shared" ref="F24:L24" si="9">F25</f>
        <v>37093.35</v>
      </c>
      <c r="G24" s="1586">
        <f t="shared" si="9"/>
        <v>1499093.35</v>
      </c>
      <c r="H24" s="1586">
        <f t="shared" si="9"/>
        <v>1552821.9800000002</v>
      </c>
      <c r="I24" s="1593">
        <f t="shared" si="3"/>
        <v>1.0358407500106648</v>
      </c>
      <c r="J24" s="1584">
        <f t="shared" si="9"/>
        <v>63553.710000000006</v>
      </c>
      <c r="K24" s="1584">
        <f t="shared" si="9"/>
        <v>55184.990000000005</v>
      </c>
      <c r="L24" s="1584">
        <f t="shared" si="9"/>
        <v>1093.07</v>
      </c>
    </row>
    <row r="25" spans="1:12" ht="15" x14ac:dyDescent="0.2">
      <c r="A25" s="2"/>
      <c r="B25" s="1600" t="s">
        <v>36</v>
      </c>
      <c r="C25" s="1601"/>
      <c r="D25" s="1602" t="s">
        <v>37</v>
      </c>
      <c r="E25" s="1603">
        <f>E26+E27+E29+E30+E31+E34+E35+E36+E37+E28+E32+E33</f>
        <v>1462000</v>
      </c>
      <c r="F25" s="1604">
        <f t="shared" ref="F25:L25" si="10">F26+F27+F29+F30+F31+F34+F35+F36+F37+F28+F32+F33</f>
        <v>37093.35</v>
      </c>
      <c r="G25" s="1605">
        <f t="shared" si="10"/>
        <v>1499093.35</v>
      </c>
      <c r="H25" s="1605">
        <f t="shared" si="10"/>
        <v>1552821.9800000002</v>
      </c>
      <c r="I25" s="1606">
        <f t="shared" si="3"/>
        <v>1.0358407500106648</v>
      </c>
      <c r="J25" s="1603">
        <f t="shared" si="10"/>
        <v>63553.710000000006</v>
      </c>
      <c r="K25" s="1603">
        <f t="shared" si="10"/>
        <v>55184.990000000005</v>
      </c>
      <c r="L25" s="1603">
        <f t="shared" si="10"/>
        <v>1093.07</v>
      </c>
    </row>
    <row r="26" spans="1:12" ht="22.5" x14ac:dyDescent="0.2">
      <c r="A26" s="3"/>
      <c r="B26" s="3"/>
      <c r="C26" s="4" t="s">
        <v>38</v>
      </c>
      <c r="D26" s="5" t="s">
        <v>39</v>
      </c>
      <c r="E26" s="1280">
        <v>38400</v>
      </c>
      <c r="F26" s="1279">
        <f>G26-E26</f>
        <v>0</v>
      </c>
      <c r="G26" s="1431" t="s">
        <v>40</v>
      </c>
      <c r="H26" s="1432">
        <v>47163.360000000001</v>
      </c>
      <c r="I26" s="1430">
        <f t="shared" si="3"/>
        <v>1.2282124999999999</v>
      </c>
      <c r="J26" s="1281">
        <v>3840.65</v>
      </c>
      <c r="K26" s="1281">
        <v>159.28</v>
      </c>
      <c r="L26" s="1281">
        <v>525.66999999999996</v>
      </c>
    </row>
    <row r="27" spans="1:12" ht="22.5" x14ac:dyDescent="0.2">
      <c r="A27" s="3"/>
      <c r="B27" s="3"/>
      <c r="C27" s="4" t="s">
        <v>41</v>
      </c>
      <c r="D27" s="5" t="s">
        <v>42</v>
      </c>
      <c r="E27" s="1280">
        <v>81600</v>
      </c>
      <c r="F27" s="1279">
        <f t="shared" ref="F27:F37" si="11">G27-E27</f>
        <v>0</v>
      </c>
      <c r="G27" s="1431" t="s">
        <v>43</v>
      </c>
      <c r="H27" s="1432">
        <v>82860.100000000006</v>
      </c>
      <c r="I27" s="1430">
        <f t="shared" si="3"/>
        <v>1.0154424019607844</v>
      </c>
      <c r="J27" s="1281">
        <v>16613.650000000001</v>
      </c>
      <c r="K27" s="1281">
        <v>16613.650000000001</v>
      </c>
      <c r="L27" s="1281">
        <v>444.4</v>
      </c>
    </row>
    <row r="28" spans="1:12" ht="22.5" x14ac:dyDescent="0.2">
      <c r="A28" s="1282"/>
      <c r="B28" s="1282"/>
      <c r="C28" s="1296" t="s">
        <v>144</v>
      </c>
      <c r="D28" s="1297" t="s">
        <v>145</v>
      </c>
      <c r="E28" s="1280">
        <v>0</v>
      </c>
      <c r="F28" s="1279">
        <v>0</v>
      </c>
      <c r="G28" s="1431">
        <v>0</v>
      </c>
      <c r="H28" s="1432">
        <v>69.599999999999994</v>
      </c>
      <c r="I28" s="1430">
        <v>0</v>
      </c>
      <c r="J28" s="1281">
        <v>0</v>
      </c>
      <c r="K28" s="1281">
        <v>0</v>
      </c>
      <c r="L28" s="1281">
        <v>0</v>
      </c>
    </row>
    <row r="29" spans="1:12" ht="67.5" x14ac:dyDescent="0.2">
      <c r="A29" s="3"/>
      <c r="B29" s="3"/>
      <c r="C29" s="4" t="s">
        <v>15</v>
      </c>
      <c r="D29" s="5" t="s">
        <v>16</v>
      </c>
      <c r="E29" s="1280">
        <v>334500</v>
      </c>
      <c r="F29" s="1279">
        <f t="shared" si="11"/>
        <v>0</v>
      </c>
      <c r="G29" s="1431" t="s">
        <v>44</v>
      </c>
      <c r="H29" s="1432">
        <v>319672.31</v>
      </c>
      <c r="I29" s="1430">
        <f t="shared" si="3"/>
        <v>0.95567207772795215</v>
      </c>
      <c r="J29" s="1281">
        <v>5899.66</v>
      </c>
      <c r="K29" s="1281">
        <v>5899.66</v>
      </c>
      <c r="L29" s="1281">
        <v>123</v>
      </c>
    </row>
    <row r="30" spans="1:12" ht="33.75" x14ac:dyDescent="0.2">
      <c r="A30" s="3"/>
      <c r="B30" s="3"/>
      <c r="C30" s="4" t="s">
        <v>45</v>
      </c>
      <c r="D30" s="5" t="s">
        <v>46</v>
      </c>
      <c r="E30" s="1280">
        <v>6000</v>
      </c>
      <c r="F30" s="1279">
        <f t="shared" si="11"/>
        <v>0</v>
      </c>
      <c r="G30" s="1431" t="s">
        <v>47</v>
      </c>
      <c r="H30" s="1432">
        <v>3801.81</v>
      </c>
      <c r="I30" s="1430">
        <f t="shared" si="3"/>
        <v>0.63363499999999995</v>
      </c>
      <c r="J30" s="1281">
        <v>211.13</v>
      </c>
      <c r="K30" s="1281">
        <v>211.13</v>
      </c>
      <c r="L30" s="1281">
        <v>0</v>
      </c>
    </row>
    <row r="31" spans="1:12" ht="33.75" x14ac:dyDescent="0.2">
      <c r="A31" s="3"/>
      <c r="B31" s="3"/>
      <c r="C31" s="4" t="s">
        <v>48</v>
      </c>
      <c r="D31" s="5" t="s">
        <v>49</v>
      </c>
      <c r="E31" s="1280">
        <v>1000000</v>
      </c>
      <c r="F31" s="1279">
        <f t="shared" si="11"/>
        <v>0</v>
      </c>
      <c r="G31" s="1431" t="s">
        <v>50</v>
      </c>
      <c r="H31" s="1432">
        <v>1058724.51</v>
      </c>
      <c r="I31" s="1430">
        <f t="shared" si="3"/>
        <v>1.05872451</v>
      </c>
      <c r="J31" s="1281">
        <v>14691.18</v>
      </c>
      <c r="K31" s="1281">
        <v>14691.18</v>
      </c>
      <c r="L31" s="1281">
        <v>0</v>
      </c>
    </row>
    <row r="32" spans="1:12" x14ac:dyDescent="0.2">
      <c r="A32" s="1282"/>
      <c r="B32" s="1282"/>
      <c r="C32" s="1284" t="s">
        <v>98</v>
      </c>
      <c r="D32" s="5" t="s">
        <v>99</v>
      </c>
      <c r="E32" s="1280">
        <v>0</v>
      </c>
      <c r="F32" s="1279">
        <v>0</v>
      </c>
      <c r="G32" s="1431">
        <v>0</v>
      </c>
      <c r="H32" s="1432">
        <v>2434.77</v>
      </c>
      <c r="I32" s="1430">
        <v>0</v>
      </c>
      <c r="J32" s="1281">
        <v>0</v>
      </c>
      <c r="K32" s="1281">
        <v>0</v>
      </c>
      <c r="L32" s="1281">
        <v>0</v>
      </c>
    </row>
    <row r="33" spans="1:12" ht="22.5" x14ac:dyDescent="0.2">
      <c r="A33" s="1282"/>
      <c r="B33" s="1282"/>
      <c r="C33" s="1284" t="s">
        <v>1464</v>
      </c>
      <c r="D33" s="1277" t="s">
        <v>1465</v>
      </c>
      <c r="E33" s="1280">
        <v>0</v>
      </c>
      <c r="F33" s="1279">
        <v>0</v>
      </c>
      <c r="G33" s="1431">
        <v>0</v>
      </c>
      <c r="H33" s="1432">
        <v>250</v>
      </c>
      <c r="I33" s="1430">
        <v>0</v>
      </c>
      <c r="J33" s="1281">
        <v>0</v>
      </c>
      <c r="K33" s="1281">
        <v>0</v>
      </c>
      <c r="L33" s="1281">
        <v>0</v>
      </c>
    </row>
    <row r="34" spans="1:12" ht="22.5" x14ac:dyDescent="0.2">
      <c r="A34" s="3"/>
      <c r="B34" s="3"/>
      <c r="C34" s="4" t="s">
        <v>51</v>
      </c>
      <c r="D34" s="5" t="s">
        <v>52</v>
      </c>
      <c r="E34" s="1280">
        <v>700</v>
      </c>
      <c r="F34" s="1279">
        <f t="shared" si="11"/>
        <v>0</v>
      </c>
      <c r="G34" s="1431" t="s">
        <v>53</v>
      </c>
      <c r="H34" s="1432">
        <v>428.88</v>
      </c>
      <c r="I34" s="1430">
        <f t="shared" si="3"/>
        <v>0.61268571428571428</v>
      </c>
      <c r="J34" s="1281">
        <v>4687.3500000000004</v>
      </c>
      <c r="K34" s="1281">
        <v>0</v>
      </c>
      <c r="L34" s="1281">
        <v>0</v>
      </c>
    </row>
    <row r="35" spans="1:12" x14ac:dyDescent="0.2">
      <c r="A35" s="3"/>
      <c r="B35" s="3"/>
      <c r="C35" s="4" t="s">
        <v>54</v>
      </c>
      <c r="D35" s="5" t="s">
        <v>55</v>
      </c>
      <c r="E35" s="1280">
        <v>800</v>
      </c>
      <c r="F35" s="1279">
        <f t="shared" si="11"/>
        <v>0</v>
      </c>
      <c r="G35" s="1431" t="s">
        <v>56</v>
      </c>
      <c r="H35" s="1432">
        <v>323.29000000000002</v>
      </c>
      <c r="I35" s="1430">
        <f t="shared" si="3"/>
        <v>0.40411250000000004</v>
      </c>
      <c r="J35" s="1281">
        <v>17610.09</v>
      </c>
      <c r="K35" s="1281">
        <v>17610.09</v>
      </c>
      <c r="L35" s="1281">
        <v>0</v>
      </c>
    </row>
    <row r="36" spans="1:12" ht="78.75" x14ac:dyDescent="0.2">
      <c r="A36" s="3"/>
      <c r="B36" s="3"/>
      <c r="C36" s="4" t="s">
        <v>57</v>
      </c>
      <c r="D36" s="5" t="s">
        <v>58</v>
      </c>
      <c r="E36" s="1280">
        <v>0</v>
      </c>
      <c r="F36" s="1279">
        <f t="shared" si="11"/>
        <v>31529.360000000001</v>
      </c>
      <c r="G36" s="1431" t="s">
        <v>59</v>
      </c>
      <c r="H36" s="1432">
        <v>31529.35</v>
      </c>
      <c r="I36" s="1430">
        <f t="shared" si="3"/>
        <v>0.99999968283530016</v>
      </c>
      <c r="J36" s="1281">
        <v>0</v>
      </c>
      <c r="K36" s="1281">
        <v>0</v>
      </c>
      <c r="L36" s="1281">
        <v>0</v>
      </c>
    </row>
    <row r="37" spans="1:12" ht="78.75" x14ac:dyDescent="0.2">
      <c r="A37" s="3"/>
      <c r="B37" s="3"/>
      <c r="C37" s="4" t="s">
        <v>60</v>
      </c>
      <c r="D37" s="5" t="s">
        <v>58</v>
      </c>
      <c r="E37" s="1280">
        <v>0</v>
      </c>
      <c r="F37" s="1279">
        <f t="shared" si="11"/>
        <v>5563.99</v>
      </c>
      <c r="G37" s="1431" t="s">
        <v>61</v>
      </c>
      <c r="H37" s="1432">
        <v>5564</v>
      </c>
      <c r="I37" s="1430">
        <f t="shared" si="3"/>
        <v>1.0000017972713826</v>
      </c>
      <c r="J37" s="1281">
        <v>0</v>
      </c>
      <c r="K37" s="1281">
        <v>0</v>
      </c>
      <c r="L37" s="1281">
        <v>0</v>
      </c>
    </row>
    <row r="38" spans="1:12" x14ac:dyDescent="0.2">
      <c r="A38" s="1588" t="s">
        <v>62</v>
      </c>
      <c r="B38" s="1588"/>
      <c r="C38" s="1588"/>
      <c r="D38" s="1589" t="s">
        <v>63</v>
      </c>
      <c r="E38" s="1590">
        <f>E39</f>
        <v>0</v>
      </c>
      <c r="F38" s="1591">
        <f t="shared" ref="F38:L38" si="12">F39</f>
        <v>28000</v>
      </c>
      <c r="G38" s="1592" t="str">
        <f t="shared" si="12"/>
        <v>28 000,00</v>
      </c>
      <c r="H38" s="1592">
        <f t="shared" si="12"/>
        <v>27350.04</v>
      </c>
      <c r="I38" s="1593">
        <f t="shared" si="3"/>
        <v>0.97678714285714285</v>
      </c>
      <c r="J38" s="1590">
        <f t="shared" si="12"/>
        <v>0</v>
      </c>
      <c r="K38" s="1590">
        <f t="shared" si="12"/>
        <v>0</v>
      </c>
      <c r="L38" s="1590">
        <f t="shared" si="12"/>
        <v>0</v>
      </c>
    </row>
    <row r="39" spans="1:12" ht="15" x14ac:dyDescent="0.2">
      <c r="A39" s="2"/>
      <c r="B39" s="1600" t="s">
        <v>65</v>
      </c>
      <c r="C39" s="1601"/>
      <c r="D39" s="1602" t="s">
        <v>66</v>
      </c>
      <c r="E39" s="1603">
        <f>E40</f>
        <v>0</v>
      </c>
      <c r="F39" s="1604">
        <f t="shared" ref="F39:L39" si="13">F40</f>
        <v>28000</v>
      </c>
      <c r="G39" s="1605" t="str">
        <f t="shared" si="13"/>
        <v>28 000,00</v>
      </c>
      <c r="H39" s="1605">
        <f t="shared" si="13"/>
        <v>27350.04</v>
      </c>
      <c r="I39" s="1606">
        <f t="shared" si="3"/>
        <v>0.97678714285714285</v>
      </c>
      <c r="J39" s="1603">
        <f t="shared" si="13"/>
        <v>0</v>
      </c>
      <c r="K39" s="1603">
        <f t="shared" si="13"/>
        <v>0</v>
      </c>
      <c r="L39" s="1603">
        <f t="shared" si="13"/>
        <v>0</v>
      </c>
    </row>
    <row r="40" spans="1:12" ht="45" x14ac:dyDescent="0.2">
      <c r="A40" s="3"/>
      <c r="B40" s="3"/>
      <c r="C40" s="4" t="s">
        <v>67</v>
      </c>
      <c r="D40" s="5" t="s">
        <v>68</v>
      </c>
      <c r="E40" s="1280">
        <v>0</v>
      </c>
      <c r="F40" s="1279">
        <f>G40-E40</f>
        <v>28000</v>
      </c>
      <c r="G40" s="1431" t="s">
        <v>64</v>
      </c>
      <c r="H40" s="1432">
        <v>27350.04</v>
      </c>
      <c r="I40" s="1430">
        <f t="shared" si="3"/>
        <v>0.97678714285714285</v>
      </c>
      <c r="J40" s="1281">
        <v>0</v>
      </c>
      <c r="K40" s="1281">
        <v>0</v>
      </c>
      <c r="L40" s="1281">
        <v>0</v>
      </c>
    </row>
    <row r="41" spans="1:12" x14ac:dyDescent="0.2">
      <c r="A41" s="1588" t="s">
        <v>69</v>
      </c>
      <c r="B41" s="1588"/>
      <c r="C41" s="1588"/>
      <c r="D41" s="1589" t="s">
        <v>70</v>
      </c>
      <c r="E41" s="1590">
        <f>E42+E45+E53+E50</f>
        <v>144925</v>
      </c>
      <c r="F41" s="1591">
        <f t="shared" ref="F41:J41" si="14">F42+F45+F53+F50</f>
        <v>59149</v>
      </c>
      <c r="G41" s="1592">
        <f t="shared" si="14"/>
        <v>204074</v>
      </c>
      <c r="H41" s="1592">
        <f t="shared" si="14"/>
        <v>204639.58</v>
      </c>
      <c r="I41" s="1593">
        <f t="shared" si="3"/>
        <v>1.0027714456520673</v>
      </c>
      <c r="J41" s="1590">
        <f t="shared" si="14"/>
        <v>619.6</v>
      </c>
      <c r="K41" s="1590">
        <f>K42+K45+K53+K50</f>
        <v>619.6</v>
      </c>
      <c r="L41" s="1590">
        <f t="shared" ref="L41" si="15">L42+L45+L53+L50</f>
        <v>0</v>
      </c>
    </row>
    <row r="42" spans="1:12" ht="15" x14ac:dyDescent="0.2">
      <c r="A42" s="2"/>
      <c r="B42" s="1600" t="s">
        <v>71</v>
      </c>
      <c r="C42" s="1601"/>
      <c r="D42" s="1602" t="s">
        <v>72</v>
      </c>
      <c r="E42" s="1603">
        <f>E43+E44</f>
        <v>142825</v>
      </c>
      <c r="F42" s="1604">
        <f t="shared" ref="F42:H42" si="16">F43+F44</f>
        <v>55749</v>
      </c>
      <c r="G42" s="1605">
        <f t="shared" si="16"/>
        <v>198574</v>
      </c>
      <c r="H42" s="1605">
        <f t="shared" si="16"/>
        <v>198598.8</v>
      </c>
      <c r="I42" s="1606">
        <f t="shared" si="3"/>
        <v>1.0001248904690443</v>
      </c>
      <c r="J42" s="1603">
        <f t="shared" ref="J42:K42" si="17">J43+J44</f>
        <v>0</v>
      </c>
      <c r="K42" s="1603">
        <f t="shared" si="17"/>
        <v>0</v>
      </c>
      <c r="L42" s="1603">
        <f t="shared" ref="L42" si="18">L43+L44</f>
        <v>0</v>
      </c>
    </row>
    <row r="43" spans="1:12" ht="56.25" x14ac:dyDescent="0.2">
      <c r="A43" s="3"/>
      <c r="B43" s="3"/>
      <c r="C43" s="4" t="s">
        <v>18</v>
      </c>
      <c r="D43" s="5" t="s">
        <v>19</v>
      </c>
      <c r="E43" s="1293">
        <v>142825</v>
      </c>
      <c r="F43" s="1294">
        <f>G43-E43</f>
        <v>55749</v>
      </c>
      <c r="G43" s="1434" t="s">
        <v>73</v>
      </c>
      <c r="H43" s="1435">
        <v>198574</v>
      </c>
      <c r="I43" s="1430">
        <f t="shared" si="3"/>
        <v>1</v>
      </c>
      <c r="J43" s="1295">
        <v>0</v>
      </c>
      <c r="K43" s="1295">
        <v>0</v>
      </c>
      <c r="L43" s="1295">
        <v>0</v>
      </c>
    </row>
    <row r="44" spans="1:12" ht="45" x14ac:dyDescent="0.2">
      <c r="A44" s="1282"/>
      <c r="B44" s="1282"/>
      <c r="C44" s="1283" t="s">
        <v>263</v>
      </c>
      <c r="D44" s="1299" t="s">
        <v>264</v>
      </c>
      <c r="E44" s="1298">
        <v>0</v>
      </c>
      <c r="F44" s="1427">
        <v>0</v>
      </c>
      <c r="G44" s="1436">
        <v>0</v>
      </c>
      <c r="H44" s="1432">
        <v>24.8</v>
      </c>
      <c r="I44" s="1430">
        <v>0</v>
      </c>
      <c r="J44" s="1281">
        <v>0</v>
      </c>
      <c r="K44" s="1281">
        <v>0</v>
      </c>
      <c r="L44" s="1281">
        <v>0</v>
      </c>
    </row>
    <row r="45" spans="1:12" ht="22.5" x14ac:dyDescent="0.2">
      <c r="A45" s="2"/>
      <c r="B45" s="1600" t="s">
        <v>74</v>
      </c>
      <c r="C45" s="1601"/>
      <c r="D45" s="1602" t="s">
        <v>75</v>
      </c>
      <c r="E45" s="1612">
        <f>E46+E49+E47+E48</f>
        <v>2100</v>
      </c>
      <c r="F45" s="1613">
        <f t="shared" ref="F45:L45" si="19">F46+F49+F47+F48</f>
        <v>0</v>
      </c>
      <c r="G45" s="1614">
        <f t="shared" si="19"/>
        <v>2100</v>
      </c>
      <c r="H45" s="1614">
        <f t="shared" si="19"/>
        <v>2587.3800000000006</v>
      </c>
      <c r="I45" s="1606">
        <f t="shared" si="3"/>
        <v>1.2320857142857145</v>
      </c>
      <c r="J45" s="1612">
        <f t="shared" si="19"/>
        <v>619.6</v>
      </c>
      <c r="K45" s="1612">
        <f t="shared" si="19"/>
        <v>619.6</v>
      </c>
      <c r="L45" s="1612">
        <f t="shared" si="19"/>
        <v>0</v>
      </c>
    </row>
    <row r="46" spans="1:12" ht="22.5" x14ac:dyDescent="0.2">
      <c r="A46" s="3"/>
      <c r="B46" s="3"/>
      <c r="C46" s="4" t="s">
        <v>77</v>
      </c>
      <c r="D46" s="5" t="s">
        <v>78</v>
      </c>
      <c r="E46" s="1280">
        <v>1500</v>
      </c>
      <c r="F46" s="1279">
        <f>G46-E46</f>
        <v>0</v>
      </c>
      <c r="G46" s="1431" t="s">
        <v>79</v>
      </c>
      <c r="H46" s="1432">
        <v>1207.9000000000001</v>
      </c>
      <c r="I46" s="1430">
        <f t="shared" si="3"/>
        <v>0.80526666666666669</v>
      </c>
      <c r="J46" s="1281">
        <v>619.6</v>
      </c>
      <c r="K46" s="1281">
        <v>619.6</v>
      </c>
      <c r="L46" s="1281">
        <v>0</v>
      </c>
    </row>
    <row r="47" spans="1:12" ht="22.5" x14ac:dyDescent="0.2">
      <c r="A47" s="1282"/>
      <c r="B47" s="1282"/>
      <c r="C47" s="1284" t="s">
        <v>144</v>
      </c>
      <c r="D47" s="1297" t="s">
        <v>145</v>
      </c>
      <c r="E47" s="1280">
        <v>0</v>
      </c>
      <c r="F47" s="1279">
        <f t="shared" ref="F47:F49" si="20">G47-E47</f>
        <v>0</v>
      </c>
      <c r="G47" s="1431">
        <v>0</v>
      </c>
      <c r="H47" s="1432">
        <v>112.3</v>
      </c>
      <c r="I47" s="1430">
        <v>0</v>
      </c>
      <c r="J47" s="1281">
        <v>0</v>
      </c>
      <c r="K47" s="1281">
        <v>0</v>
      </c>
      <c r="L47" s="1281">
        <v>0</v>
      </c>
    </row>
    <row r="48" spans="1:12" ht="22.5" x14ac:dyDescent="0.2">
      <c r="A48" s="1282"/>
      <c r="B48" s="1282"/>
      <c r="C48" s="1284" t="s">
        <v>1464</v>
      </c>
      <c r="D48" s="1277" t="s">
        <v>1465</v>
      </c>
      <c r="E48" s="1280">
        <v>0</v>
      </c>
      <c r="F48" s="1279">
        <f t="shared" si="20"/>
        <v>0</v>
      </c>
      <c r="G48" s="1431">
        <v>0</v>
      </c>
      <c r="H48" s="1432">
        <v>382.11</v>
      </c>
      <c r="I48" s="1430">
        <v>0</v>
      </c>
      <c r="J48" s="1281">
        <v>0</v>
      </c>
      <c r="K48" s="1281">
        <v>0</v>
      </c>
      <c r="L48" s="1281">
        <v>0</v>
      </c>
    </row>
    <row r="49" spans="1:12" x14ac:dyDescent="0.2">
      <c r="A49" s="3"/>
      <c r="B49" s="1727"/>
      <c r="C49" s="1450" t="s">
        <v>80</v>
      </c>
      <c r="D49" s="1451" t="s">
        <v>81</v>
      </c>
      <c r="E49" s="1452">
        <v>600</v>
      </c>
      <c r="F49" s="1453">
        <f t="shared" si="20"/>
        <v>0</v>
      </c>
      <c r="G49" s="1454" t="s">
        <v>82</v>
      </c>
      <c r="H49" s="1432">
        <v>885.07</v>
      </c>
      <c r="I49" s="1430">
        <f t="shared" si="3"/>
        <v>1.4751166666666669</v>
      </c>
      <c r="J49" s="1281">
        <v>0</v>
      </c>
      <c r="K49" s="1281">
        <v>0</v>
      </c>
      <c r="L49" s="1281">
        <v>0</v>
      </c>
    </row>
    <row r="50" spans="1:12" x14ac:dyDescent="0.2">
      <c r="A50" s="1290"/>
      <c r="B50" s="1623" t="s">
        <v>496</v>
      </c>
      <c r="C50" s="1624"/>
      <c r="D50" s="1625" t="s">
        <v>1466</v>
      </c>
      <c r="E50" s="1626">
        <f>E51+E52</f>
        <v>0</v>
      </c>
      <c r="F50" s="1627">
        <f t="shared" ref="F50:L50" si="21">F51+F52</f>
        <v>0</v>
      </c>
      <c r="G50" s="1628">
        <f t="shared" si="21"/>
        <v>0</v>
      </c>
      <c r="H50" s="1628">
        <f t="shared" si="21"/>
        <v>659.8</v>
      </c>
      <c r="I50" s="1606">
        <v>0</v>
      </c>
      <c r="J50" s="1626">
        <f>J51+J52</f>
        <v>0</v>
      </c>
      <c r="K50" s="1626">
        <f t="shared" si="21"/>
        <v>0</v>
      </c>
      <c r="L50" s="1626">
        <f t="shared" si="21"/>
        <v>0</v>
      </c>
    </row>
    <row r="51" spans="1:12" x14ac:dyDescent="0.2">
      <c r="A51" s="1282"/>
      <c r="B51" s="1290"/>
      <c r="C51" s="1296" t="s">
        <v>98</v>
      </c>
      <c r="D51" s="1297" t="s">
        <v>99</v>
      </c>
      <c r="E51" s="1298">
        <v>0</v>
      </c>
      <c r="F51" s="1427">
        <v>0</v>
      </c>
      <c r="G51" s="1436">
        <v>0</v>
      </c>
      <c r="H51" s="1432">
        <v>632.65</v>
      </c>
      <c r="I51" s="1430">
        <v>0</v>
      </c>
      <c r="J51" s="1281">
        <v>0</v>
      </c>
      <c r="K51" s="1281">
        <v>0</v>
      </c>
      <c r="L51" s="1281">
        <v>0</v>
      </c>
    </row>
    <row r="52" spans="1:12" x14ac:dyDescent="0.2">
      <c r="A52" s="1282"/>
      <c r="B52" s="1290"/>
      <c r="C52" s="1296" t="s">
        <v>1467</v>
      </c>
      <c r="D52" s="1297" t="s">
        <v>1468</v>
      </c>
      <c r="E52" s="1298">
        <v>0</v>
      </c>
      <c r="F52" s="1427">
        <v>0</v>
      </c>
      <c r="G52" s="1436">
        <v>0</v>
      </c>
      <c r="H52" s="1432">
        <v>27.15</v>
      </c>
      <c r="I52" s="1430">
        <v>0</v>
      </c>
      <c r="J52" s="1281">
        <v>0</v>
      </c>
      <c r="K52" s="1281">
        <v>0</v>
      </c>
      <c r="L52" s="1281">
        <v>0</v>
      </c>
    </row>
    <row r="53" spans="1:12" ht="22.5" x14ac:dyDescent="0.2">
      <c r="A53" s="2"/>
      <c r="B53" s="1617" t="s">
        <v>83</v>
      </c>
      <c r="C53" s="1618"/>
      <c r="D53" s="1619" t="s">
        <v>84</v>
      </c>
      <c r="E53" s="1620">
        <f>E55+E54</f>
        <v>0</v>
      </c>
      <c r="F53" s="1621">
        <f t="shared" ref="F53:L53" si="22">F55+F54</f>
        <v>3400</v>
      </c>
      <c r="G53" s="1622">
        <f t="shared" si="22"/>
        <v>3400</v>
      </c>
      <c r="H53" s="1622">
        <f t="shared" si="22"/>
        <v>2793.6</v>
      </c>
      <c r="I53" s="1606">
        <f t="shared" si="3"/>
        <v>0.8216470588235294</v>
      </c>
      <c r="J53" s="1620">
        <f t="shared" si="22"/>
        <v>0</v>
      </c>
      <c r="K53" s="1620">
        <f t="shared" si="22"/>
        <v>0</v>
      </c>
      <c r="L53" s="1620">
        <f t="shared" si="22"/>
        <v>0</v>
      </c>
    </row>
    <row r="54" spans="1:12" s="1287" customFormat="1" ht="22.5" x14ac:dyDescent="0.2">
      <c r="A54" s="1308"/>
      <c r="B54" s="1309"/>
      <c r="C54" s="1311" t="s">
        <v>1464</v>
      </c>
      <c r="D54" s="1277" t="s">
        <v>1465</v>
      </c>
      <c r="E54" s="1310">
        <v>0</v>
      </c>
      <c r="F54" s="1428">
        <v>0</v>
      </c>
      <c r="G54" s="1437">
        <v>0</v>
      </c>
      <c r="H54" s="1437">
        <v>105.6</v>
      </c>
      <c r="I54" s="1430">
        <v>0</v>
      </c>
      <c r="J54" s="1310">
        <v>0</v>
      </c>
      <c r="K54" s="1310">
        <v>0</v>
      </c>
      <c r="L54" s="1310">
        <v>0</v>
      </c>
    </row>
    <row r="55" spans="1:12" ht="56.25" x14ac:dyDescent="0.2">
      <c r="A55" s="3"/>
      <c r="B55" s="3"/>
      <c r="C55" s="1300" t="s">
        <v>86</v>
      </c>
      <c r="D55" s="1301" t="s">
        <v>87</v>
      </c>
      <c r="E55" s="1302">
        <v>0</v>
      </c>
      <c r="F55" s="1429">
        <f>G55-E55</f>
        <v>3400</v>
      </c>
      <c r="G55" s="1438" t="s">
        <v>85</v>
      </c>
      <c r="H55" s="1439">
        <v>2688</v>
      </c>
      <c r="I55" s="1430">
        <f t="shared" si="3"/>
        <v>0.79058823529411759</v>
      </c>
      <c r="J55" s="1303">
        <v>0</v>
      </c>
      <c r="K55" s="1303">
        <v>0</v>
      </c>
      <c r="L55" s="1303">
        <v>0</v>
      </c>
    </row>
    <row r="56" spans="1:12" ht="33.75" x14ac:dyDescent="0.2">
      <c r="A56" s="1588" t="s">
        <v>88</v>
      </c>
      <c r="B56" s="1588"/>
      <c r="C56" s="1588"/>
      <c r="D56" s="1589" t="s">
        <v>89</v>
      </c>
      <c r="E56" s="1590">
        <f>E57</f>
        <v>3491</v>
      </c>
      <c r="F56" s="1591">
        <f t="shared" ref="F56:L56" si="23">F57</f>
        <v>0</v>
      </c>
      <c r="G56" s="1592" t="str">
        <f t="shared" si="23"/>
        <v>3 491,00</v>
      </c>
      <c r="H56" s="1592">
        <f t="shared" si="23"/>
        <v>3491</v>
      </c>
      <c r="I56" s="1593">
        <f t="shared" si="3"/>
        <v>1</v>
      </c>
      <c r="J56" s="1590">
        <f t="shared" si="23"/>
        <v>0</v>
      </c>
      <c r="K56" s="1590">
        <f t="shared" si="23"/>
        <v>0</v>
      </c>
      <c r="L56" s="1590">
        <f t="shared" si="23"/>
        <v>0</v>
      </c>
    </row>
    <row r="57" spans="1:12" ht="22.5" x14ac:dyDescent="0.2">
      <c r="A57" s="2"/>
      <c r="B57" s="1600" t="s">
        <v>91</v>
      </c>
      <c r="C57" s="1601"/>
      <c r="D57" s="1602" t="s">
        <v>92</v>
      </c>
      <c r="E57" s="1603">
        <f>E58</f>
        <v>3491</v>
      </c>
      <c r="F57" s="1604">
        <f t="shared" ref="F57:L57" si="24">F58</f>
        <v>0</v>
      </c>
      <c r="G57" s="1605" t="str">
        <f t="shared" si="24"/>
        <v>3 491,00</v>
      </c>
      <c r="H57" s="1605">
        <f t="shared" si="24"/>
        <v>3491</v>
      </c>
      <c r="I57" s="1606">
        <f t="shared" si="3"/>
        <v>1</v>
      </c>
      <c r="J57" s="1603">
        <f t="shared" si="24"/>
        <v>0</v>
      </c>
      <c r="K57" s="1603">
        <f t="shared" si="24"/>
        <v>0</v>
      </c>
      <c r="L57" s="1603">
        <f t="shared" si="24"/>
        <v>0</v>
      </c>
    </row>
    <row r="58" spans="1:12" ht="56.25" x14ac:dyDescent="0.2">
      <c r="A58" s="3"/>
      <c r="B58" s="3"/>
      <c r="C58" s="4" t="s">
        <v>18</v>
      </c>
      <c r="D58" s="5" t="s">
        <v>19</v>
      </c>
      <c r="E58" s="1280">
        <v>3491</v>
      </c>
      <c r="F58" s="1279">
        <f>G58-E58</f>
        <v>0</v>
      </c>
      <c r="G58" s="1431" t="s">
        <v>90</v>
      </c>
      <c r="H58" s="1432">
        <v>3491</v>
      </c>
      <c r="I58" s="1430">
        <f t="shared" si="3"/>
        <v>1</v>
      </c>
      <c r="J58" s="1281">
        <v>0</v>
      </c>
      <c r="K58" s="1281">
        <v>0</v>
      </c>
      <c r="L58" s="1281">
        <v>0</v>
      </c>
    </row>
    <row r="59" spans="1:12" ht="22.5" x14ac:dyDescent="0.2">
      <c r="A59" s="1588" t="s">
        <v>93</v>
      </c>
      <c r="B59" s="1588"/>
      <c r="C59" s="1588"/>
      <c r="D59" s="1589" t="s">
        <v>94</v>
      </c>
      <c r="E59" s="1590">
        <f>E60</f>
        <v>1000</v>
      </c>
      <c r="F59" s="1591">
        <f t="shared" ref="F59:L59" si="25">F60</f>
        <v>0</v>
      </c>
      <c r="G59" s="1592">
        <f t="shared" si="25"/>
        <v>1000</v>
      </c>
      <c r="H59" s="1592">
        <f t="shared" si="25"/>
        <v>5799.0400000000009</v>
      </c>
      <c r="I59" s="1593">
        <f t="shared" si="3"/>
        <v>5.7990400000000006</v>
      </c>
      <c r="J59" s="1590">
        <f t="shared" si="25"/>
        <v>2161.41</v>
      </c>
      <c r="K59" s="1590">
        <f t="shared" si="25"/>
        <v>2000</v>
      </c>
      <c r="L59" s="1590">
        <f t="shared" si="25"/>
        <v>0</v>
      </c>
    </row>
    <row r="60" spans="1:12" ht="15" x14ac:dyDescent="0.2">
      <c r="A60" s="2"/>
      <c r="B60" s="1600" t="s">
        <v>96</v>
      </c>
      <c r="C60" s="1601"/>
      <c r="D60" s="1602" t="s">
        <v>97</v>
      </c>
      <c r="E60" s="1603">
        <f>E61+E62</f>
        <v>1000</v>
      </c>
      <c r="F60" s="1604">
        <f t="shared" ref="F60:L60" si="26">F61+F62</f>
        <v>0</v>
      </c>
      <c r="G60" s="1605">
        <f t="shared" si="26"/>
        <v>1000</v>
      </c>
      <c r="H60" s="1605">
        <f t="shared" si="26"/>
        <v>5799.0400000000009</v>
      </c>
      <c r="I60" s="1606">
        <f t="shared" si="3"/>
        <v>5.7990400000000006</v>
      </c>
      <c r="J60" s="1603">
        <f t="shared" si="26"/>
        <v>2161.41</v>
      </c>
      <c r="K60" s="1603">
        <f t="shared" si="26"/>
        <v>2000</v>
      </c>
      <c r="L60" s="1603">
        <f t="shared" si="26"/>
        <v>0</v>
      </c>
    </row>
    <row r="61" spans="1:12" x14ac:dyDescent="0.2">
      <c r="A61" s="3"/>
      <c r="B61" s="3"/>
      <c r="C61" s="1291" t="s">
        <v>98</v>
      </c>
      <c r="D61" s="1292" t="s">
        <v>99</v>
      </c>
      <c r="E61" s="1293">
        <v>1000</v>
      </c>
      <c r="F61" s="1294">
        <f>G61-E61</f>
        <v>0</v>
      </c>
      <c r="G61" s="1434" t="s">
        <v>95</v>
      </c>
      <c r="H61" s="1435">
        <v>1025.69</v>
      </c>
      <c r="I61" s="1430">
        <f t="shared" si="3"/>
        <v>1.02569</v>
      </c>
      <c r="J61" s="1295">
        <v>161.41</v>
      </c>
      <c r="K61" s="1295">
        <v>0</v>
      </c>
      <c r="L61" s="1295">
        <v>0</v>
      </c>
    </row>
    <row r="62" spans="1:12" ht="67.5" x14ac:dyDescent="0.2">
      <c r="A62" s="1282"/>
      <c r="B62" s="1290"/>
      <c r="C62" s="1304" t="s">
        <v>240</v>
      </c>
      <c r="D62" s="5" t="s">
        <v>241</v>
      </c>
      <c r="E62" s="1298">
        <v>0</v>
      </c>
      <c r="F62" s="1427">
        <v>0</v>
      </c>
      <c r="G62" s="1436">
        <v>0</v>
      </c>
      <c r="H62" s="1432">
        <v>4773.3500000000004</v>
      </c>
      <c r="I62" s="1430">
        <v>0</v>
      </c>
      <c r="J62" s="1281">
        <v>2000</v>
      </c>
      <c r="K62" s="1281">
        <v>2000</v>
      </c>
      <c r="L62" s="1281">
        <v>0</v>
      </c>
    </row>
    <row r="63" spans="1:12" ht="45" x14ac:dyDescent="0.2">
      <c r="A63" s="1588" t="s">
        <v>100</v>
      </c>
      <c r="B63" s="1588"/>
      <c r="C63" s="1582"/>
      <c r="D63" s="1583" t="s">
        <v>101</v>
      </c>
      <c r="E63" s="1584">
        <f>E64+E67+E76+E87+E93</f>
        <v>22665850.670000002</v>
      </c>
      <c r="F63" s="1585">
        <f t="shared" ref="F63:L63" si="27">F64+F67+F76+F87+F93</f>
        <v>12704</v>
      </c>
      <c r="G63" s="1586">
        <f t="shared" si="27"/>
        <v>22678554.670000002</v>
      </c>
      <c r="H63" s="1586">
        <f t="shared" si="27"/>
        <v>23211820.5</v>
      </c>
      <c r="I63" s="1593">
        <f t="shared" si="3"/>
        <v>1.0235141012185147</v>
      </c>
      <c r="J63" s="1584">
        <f t="shared" si="27"/>
        <v>3058170.7199999997</v>
      </c>
      <c r="K63" s="1584">
        <f t="shared" si="27"/>
        <v>2354624.0299999998</v>
      </c>
      <c r="L63" s="1584">
        <f t="shared" si="27"/>
        <v>29329.449999999997</v>
      </c>
    </row>
    <row r="64" spans="1:12" ht="22.5" x14ac:dyDescent="0.2">
      <c r="A64" s="2"/>
      <c r="B64" s="1600" t="s">
        <v>103</v>
      </c>
      <c r="C64" s="1601"/>
      <c r="D64" s="1602" t="s">
        <v>104</v>
      </c>
      <c r="E64" s="1603">
        <f>E65+E66</f>
        <v>60000</v>
      </c>
      <c r="F64" s="1604">
        <f t="shared" ref="F64:L64" si="28">F65+F66</f>
        <v>0</v>
      </c>
      <c r="G64" s="1605">
        <f t="shared" si="28"/>
        <v>60000</v>
      </c>
      <c r="H64" s="1605">
        <f t="shared" si="28"/>
        <v>79252.31</v>
      </c>
      <c r="I64" s="1606">
        <f t="shared" si="3"/>
        <v>1.3208718333333334</v>
      </c>
      <c r="J64" s="1603">
        <f t="shared" si="28"/>
        <v>38341.199999999997</v>
      </c>
      <c r="K64" s="1603">
        <f t="shared" si="28"/>
        <v>37538.92</v>
      </c>
      <c r="L64" s="1603">
        <f t="shared" si="28"/>
        <v>0</v>
      </c>
    </row>
    <row r="65" spans="1:12" ht="33.75" x14ac:dyDescent="0.2">
      <c r="A65" s="3"/>
      <c r="B65" s="3"/>
      <c r="C65" s="1450" t="s">
        <v>106</v>
      </c>
      <c r="D65" s="1451" t="s">
        <v>107</v>
      </c>
      <c r="E65" s="1452">
        <v>60000</v>
      </c>
      <c r="F65" s="1453">
        <f>G65-E65</f>
        <v>0</v>
      </c>
      <c r="G65" s="1454" t="s">
        <v>105</v>
      </c>
      <c r="H65" s="1432">
        <v>77712.86</v>
      </c>
      <c r="I65" s="1430">
        <f t="shared" si="3"/>
        <v>1.2952143333333332</v>
      </c>
      <c r="J65" s="1281">
        <v>38341.199999999997</v>
      </c>
      <c r="K65" s="1281">
        <v>37538.92</v>
      </c>
      <c r="L65" s="1281">
        <v>0</v>
      </c>
    </row>
    <row r="66" spans="1:12" ht="22.5" x14ac:dyDescent="0.2">
      <c r="A66" s="1313" t="s">
        <v>1469</v>
      </c>
      <c r="B66" s="1282"/>
      <c r="C66" s="1822" t="s">
        <v>51</v>
      </c>
      <c r="D66" s="1823" t="s">
        <v>52</v>
      </c>
      <c r="E66" s="1824">
        <v>0</v>
      </c>
      <c r="F66" s="1825">
        <v>0</v>
      </c>
      <c r="G66" s="1724">
        <v>0</v>
      </c>
      <c r="H66" s="1439">
        <v>1539.45</v>
      </c>
      <c r="I66" s="1826">
        <v>0</v>
      </c>
      <c r="J66" s="1827">
        <v>0</v>
      </c>
      <c r="K66" s="1827">
        <v>0</v>
      </c>
      <c r="L66" s="1827">
        <v>0</v>
      </c>
    </row>
    <row r="67" spans="1:12" ht="56.25" x14ac:dyDescent="0.2">
      <c r="A67" s="2"/>
      <c r="B67" s="1600" t="s">
        <v>108</v>
      </c>
      <c r="C67" s="1601"/>
      <c r="D67" s="1602" t="s">
        <v>109</v>
      </c>
      <c r="E67" s="1612">
        <f>E68+E69+E70+E71+E72+E74+E75+E73</f>
        <v>6743310.9500000002</v>
      </c>
      <c r="F67" s="1613">
        <f t="shared" ref="F67:L67" si="29">F68+F69+F70+F71+F72+F74+F75+F73</f>
        <v>-210000</v>
      </c>
      <c r="G67" s="1614">
        <f t="shared" si="29"/>
        <v>6533310.9500000002</v>
      </c>
      <c r="H67" s="1614">
        <f t="shared" si="29"/>
        <v>6584542.959999999</v>
      </c>
      <c r="I67" s="1606">
        <f t="shared" si="3"/>
        <v>1.0078416610493641</v>
      </c>
      <c r="J67" s="1612">
        <f t="shared" si="29"/>
        <v>481946.64</v>
      </c>
      <c r="K67" s="1612">
        <f t="shared" si="29"/>
        <v>385846.31</v>
      </c>
      <c r="L67" s="1612">
        <f t="shared" si="29"/>
        <v>453.78</v>
      </c>
    </row>
    <row r="68" spans="1:12" x14ac:dyDescent="0.2">
      <c r="A68" s="3"/>
      <c r="B68" s="3"/>
      <c r="C68" s="4" t="s">
        <v>110</v>
      </c>
      <c r="D68" s="5" t="s">
        <v>111</v>
      </c>
      <c r="E68" s="1280">
        <v>5820836.9500000002</v>
      </c>
      <c r="F68" s="1279">
        <f>G68-E68</f>
        <v>-172800</v>
      </c>
      <c r="G68" s="1431" t="s">
        <v>112</v>
      </c>
      <c r="H68" s="1432">
        <v>5691391.9100000001</v>
      </c>
      <c r="I68" s="1430">
        <f t="shared" si="3"/>
        <v>1.0076761112549024</v>
      </c>
      <c r="J68" s="1281">
        <v>380593.94</v>
      </c>
      <c r="K68" s="1281">
        <v>306468.61</v>
      </c>
      <c r="L68" s="1281">
        <v>32.380000000000003</v>
      </c>
    </row>
    <row r="69" spans="1:12" x14ac:dyDescent="0.2">
      <c r="A69" s="3"/>
      <c r="B69" s="3"/>
      <c r="C69" s="4" t="s">
        <v>113</v>
      </c>
      <c r="D69" s="5" t="s">
        <v>114</v>
      </c>
      <c r="E69" s="1280">
        <v>110962</v>
      </c>
      <c r="F69" s="1279">
        <f t="shared" ref="F69:F75" si="30">G69-E69</f>
        <v>-27200</v>
      </c>
      <c r="G69" s="1431" t="s">
        <v>115</v>
      </c>
      <c r="H69" s="1432">
        <v>82739</v>
      </c>
      <c r="I69" s="1430">
        <f t="shared" si="3"/>
        <v>0.98778682457438938</v>
      </c>
      <c r="J69" s="1281">
        <v>711</v>
      </c>
      <c r="K69" s="1281">
        <v>711</v>
      </c>
      <c r="L69" s="1281">
        <v>135</v>
      </c>
    </row>
    <row r="70" spans="1:12" x14ac:dyDescent="0.2">
      <c r="A70" s="3"/>
      <c r="B70" s="3"/>
      <c r="C70" s="4" t="s">
        <v>116</v>
      </c>
      <c r="D70" s="5" t="s">
        <v>117</v>
      </c>
      <c r="E70" s="1280">
        <v>160000</v>
      </c>
      <c r="F70" s="1279">
        <f t="shared" si="30"/>
        <v>-10000</v>
      </c>
      <c r="G70" s="1431" t="s">
        <v>118</v>
      </c>
      <c r="H70" s="1432">
        <v>159665</v>
      </c>
      <c r="I70" s="1430">
        <f t="shared" si="3"/>
        <v>1.0644333333333333</v>
      </c>
      <c r="J70" s="1281">
        <v>0</v>
      </c>
      <c r="K70" s="1281">
        <v>0</v>
      </c>
      <c r="L70" s="1281">
        <v>3</v>
      </c>
    </row>
    <row r="71" spans="1:12" ht="22.5" x14ac:dyDescent="0.2">
      <c r="A71" s="3"/>
      <c r="B71" s="3"/>
      <c r="C71" s="4" t="s">
        <v>119</v>
      </c>
      <c r="D71" s="5" t="s">
        <v>120</v>
      </c>
      <c r="E71" s="1280">
        <v>79512</v>
      </c>
      <c r="F71" s="1279">
        <f t="shared" si="30"/>
        <v>-20000</v>
      </c>
      <c r="G71" s="1431" t="s">
        <v>121</v>
      </c>
      <c r="H71" s="1432">
        <v>51305</v>
      </c>
      <c r="I71" s="1430">
        <f t="shared" si="3"/>
        <v>0.86209503965586776</v>
      </c>
      <c r="J71" s="1281">
        <v>78666.7</v>
      </c>
      <c r="K71" s="1281">
        <v>78666.7</v>
      </c>
      <c r="L71" s="1281">
        <v>283.39999999999998</v>
      </c>
    </row>
    <row r="72" spans="1:12" ht="22.5" x14ac:dyDescent="0.2">
      <c r="A72" s="3"/>
      <c r="B72" s="3"/>
      <c r="C72" s="4" t="s">
        <v>122</v>
      </c>
      <c r="D72" s="5" t="s">
        <v>123</v>
      </c>
      <c r="E72" s="1280">
        <v>11000</v>
      </c>
      <c r="F72" s="1279">
        <f t="shared" si="30"/>
        <v>20000</v>
      </c>
      <c r="G72" s="1431" t="s">
        <v>125</v>
      </c>
      <c r="H72" s="1432">
        <v>33330.43</v>
      </c>
      <c r="I72" s="1430">
        <f t="shared" si="3"/>
        <v>1.0751751612903226</v>
      </c>
      <c r="J72" s="1281">
        <v>0</v>
      </c>
      <c r="K72" s="1281">
        <v>0</v>
      </c>
      <c r="L72" s="1281">
        <v>0</v>
      </c>
    </row>
    <row r="73" spans="1:12" ht="22.5" x14ac:dyDescent="0.2">
      <c r="A73" s="1282"/>
      <c r="B73" s="1282"/>
      <c r="C73" s="1284" t="s">
        <v>144</v>
      </c>
      <c r="D73" s="5" t="s">
        <v>145</v>
      </c>
      <c r="E73" s="1280">
        <v>0</v>
      </c>
      <c r="F73" s="1279">
        <v>0</v>
      </c>
      <c r="G73" s="1431">
        <v>0</v>
      </c>
      <c r="H73" s="1432">
        <v>540.1</v>
      </c>
      <c r="I73" s="1430">
        <v>0</v>
      </c>
      <c r="J73" s="1281">
        <v>0</v>
      </c>
      <c r="K73" s="1281">
        <v>0</v>
      </c>
      <c r="L73" s="1281">
        <v>0</v>
      </c>
    </row>
    <row r="74" spans="1:12" ht="22.5" x14ac:dyDescent="0.2">
      <c r="A74" s="3"/>
      <c r="B74" s="3"/>
      <c r="C74" s="4" t="s">
        <v>51</v>
      </c>
      <c r="D74" s="5" t="s">
        <v>52</v>
      </c>
      <c r="E74" s="1280">
        <v>2000</v>
      </c>
      <c r="F74" s="1279">
        <f t="shared" si="30"/>
        <v>0</v>
      </c>
      <c r="G74" s="1431" t="s">
        <v>126</v>
      </c>
      <c r="H74" s="1432">
        <v>4176.5200000000004</v>
      </c>
      <c r="I74" s="1430">
        <f t="shared" ref="I74:I137" si="31">H74/G74</f>
        <v>2.08826</v>
      </c>
      <c r="J74" s="1281">
        <v>21975</v>
      </c>
      <c r="K74" s="1281">
        <v>0</v>
      </c>
      <c r="L74" s="1281">
        <v>0</v>
      </c>
    </row>
    <row r="75" spans="1:12" ht="22.5" x14ac:dyDescent="0.2">
      <c r="A75" s="3"/>
      <c r="B75" s="3"/>
      <c r="C75" s="4" t="s">
        <v>127</v>
      </c>
      <c r="D75" s="5" t="s">
        <v>128</v>
      </c>
      <c r="E75" s="1280">
        <v>559000</v>
      </c>
      <c r="F75" s="1279">
        <f t="shared" si="30"/>
        <v>0</v>
      </c>
      <c r="G75" s="1431" t="s">
        <v>129</v>
      </c>
      <c r="H75" s="1432">
        <v>561395</v>
      </c>
      <c r="I75" s="1430">
        <f t="shared" si="31"/>
        <v>1.0042844364937389</v>
      </c>
      <c r="J75" s="1281">
        <v>0</v>
      </c>
      <c r="K75" s="1281">
        <v>0</v>
      </c>
      <c r="L75" s="1281">
        <v>0</v>
      </c>
    </row>
    <row r="76" spans="1:12" ht="56.25" x14ac:dyDescent="0.2">
      <c r="A76" s="2"/>
      <c r="B76" s="1600" t="s">
        <v>130</v>
      </c>
      <c r="C76" s="1601"/>
      <c r="D76" s="1602" t="s">
        <v>131</v>
      </c>
      <c r="E76" s="1603">
        <f>E77+E78+E79+E80+E81+E82+E83+E84+E85+E86</f>
        <v>4506101.7200000007</v>
      </c>
      <c r="F76" s="1604">
        <f t="shared" ref="F76:L76" si="32">F77+F78+F79+F80+F81+F82+F83+F84+F85+F86</f>
        <v>-190000</v>
      </c>
      <c r="G76" s="1605">
        <f t="shared" si="32"/>
        <v>4316101.7200000007</v>
      </c>
      <c r="H76" s="1605">
        <f t="shared" si="32"/>
        <v>4362196.6000000006</v>
      </c>
      <c r="I76" s="1606">
        <f t="shared" si="31"/>
        <v>1.0106797482984251</v>
      </c>
      <c r="J76" s="1603">
        <f t="shared" si="32"/>
        <v>2275156.75</v>
      </c>
      <c r="K76" s="1603">
        <f t="shared" si="32"/>
        <v>1781574.5</v>
      </c>
      <c r="L76" s="1603">
        <f t="shared" si="32"/>
        <v>28875.67</v>
      </c>
    </row>
    <row r="77" spans="1:12" x14ac:dyDescent="0.2">
      <c r="A77" s="3"/>
      <c r="B77" s="3"/>
      <c r="C77" s="4" t="s">
        <v>110</v>
      </c>
      <c r="D77" s="5" t="s">
        <v>111</v>
      </c>
      <c r="E77" s="1280">
        <v>2843043.72</v>
      </c>
      <c r="F77" s="1279">
        <f>G77-E77</f>
        <v>-200000</v>
      </c>
      <c r="G77" s="1431" t="s">
        <v>132</v>
      </c>
      <c r="H77" s="1432">
        <v>2637379.27</v>
      </c>
      <c r="I77" s="1430">
        <f t="shared" si="31"/>
        <v>0.99785684589432366</v>
      </c>
      <c r="J77" s="1281">
        <v>1560721.01</v>
      </c>
      <c r="K77" s="1281">
        <v>1505238.52</v>
      </c>
      <c r="L77" s="1281">
        <v>25592.37</v>
      </c>
    </row>
    <row r="78" spans="1:12" x14ac:dyDescent="0.2">
      <c r="A78" s="3"/>
      <c r="B78" s="3"/>
      <c r="C78" s="4" t="s">
        <v>113</v>
      </c>
      <c r="D78" s="5" t="s">
        <v>114</v>
      </c>
      <c r="E78" s="1280">
        <v>667834</v>
      </c>
      <c r="F78" s="1279">
        <f t="shared" ref="F78:F86" si="33">G78-E78</f>
        <v>0</v>
      </c>
      <c r="G78" s="1431" t="s">
        <v>133</v>
      </c>
      <c r="H78" s="1432">
        <v>622017.84</v>
      </c>
      <c r="I78" s="1430">
        <f t="shared" si="31"/>
        <v>0.93139588580395727</v>
      </c>
      <c r="J78" s="1281">
        <v>82745.42</v>
      </c>
      <c r="K78" s="1281">
        <v>82544.42</v>
      </c>
      <c r="L78" s="1281">
        <v>2937.3</v>
      </c>
    </row>
    <row r="79" spans="1:12" x14ac:dyDescent="0.2">
      <c r="A79" s="3"/>
      <c r="B79" s="3"/>
      <c r="C79" s="4" t="s">
        <v>116</v>
      </c>
      <c r="D79" s="5" t="s">
        <v>117</v>
      </c>
      <c r="E79" s="1280">
        <v>8000</v>
      </c>
      <c r="F79" s="1279">
        <f t="shared" si="33"/>
        <v>0</v>
      </c>
      <c r="G79" s="1431" t="s">
        <v>134</v>
      </c>
      <c r="H79" s="1432">
        <v>8835.6</v>
      </c>
      <c r="I79" s="1430">
        <f t="shared" si="31"/>
        <v>1.1044500000000002</v>
      </c>
      <c r="J79" s="1281">
        <v>642</v>
      </c>
      <c r="K79" s="1281">
        <v>642</v>
      </c>
      <c r="L79" s="1281">
        <v>5</v>
      </c>
    </row>
    <row r="80" spans="1:12" ht="22.5" x14ac:dyDescent="0.2">
      <c r="A80" s="3"/>
      <c r="B80" s="3"/>
      <c r="C80" s="4" t="s">
        <v>119</v>
      </c>
      <c r="D80" s="5" t="s">
        <v>120</v>
      </c>
      <c r="E80" s="1280">
        <v>366224</v>
      </c>
      <c r="F80" s="1279">
        <f t="shared" si="33"/>
        <v>0</v>
      </c>
      <c r="G80" s="1431" t="s">
        <v>135</v>
      </c>
      <c r="H80" s="1432">
        <v>339030.44</v>
      </c>
      <c r="I80" s="1430">
        <f t="shared" si="31"/>
        <v>0.92574610074708374</v>
      </c>
      <c r="J80" s="1281">
        <v>173373.3</v>
      </c>
      <c r="K80" s="1281">
        <v>173373.3</v>
      </c>
      <c r="L80" s="1281">
        <v>341</v>
      </c>
    </row>
    <row r="81" spans="1:12" x14ac:dyDescent="0.2">
      <c r="A81" s="3"/>
      <c r="B81" s="3"/>
      <c r="C81" s="4" t="s">
        <v>136</v>
      </c>
      <c r="D81" s="5" t="s">
        <v>137</v>
      </c>
      <c r="E81" s="1280">
        <v>30000</v>
      </c>
      <c r="F81" s="1279">
        <f t="shared" si="33"/>
        <v>0</v>
      </c>
      <c r="G81" s="1431" t="s">
        <v>138</v>
      </c>
      <c r="H81" s="1432">
        <v>63890.49</v>
      </c>
      <c r="I81" s="1430">
        <f t="shared" si="31"/>
        <v>2.129683</v>
      </c>
      <c r="J81" s="1281">
        <v>19329.28</v>
      </c>
      <c r="K81" s="1281">
        <v>18578.52</v>
      </c>
      <c r="L81" s="1281">
        <v>0</v>
      </c>
    </row>
    <row r="82" spans="1:12" x14ac:dyDescent="0.2">
      <c r="A82" s="3"/>
      <c r="B82" s="3"/>
      <c r="C82" s="4" t="s">
        <v>139</v>
      </c>
      <c r="D82" s="5" t="s">
        <v>140</v>
      </c>
      <c r="E82" s="1280">
        <v>50000</v>
      </c>
      <c r="F82" s="1279">
        <f t="shared" si="33"/>
        <v>0</v>
      </c>
      <c r="G82" s="1431" t="s">
        <v>141</v>
      </c>
      <c r="H82" s="1432">
        <v>60032</v>
      </c>
      <c r="I82" s="1430">
        <f t="shared" si="31"/>
        <v>1.2006399999999999</v>
      </c>
      <c r="J82" s="1281">
        <v>0</v>
      </c>
      <c r="K82" s="1281">
        <v>0</v>
      </c>
      <c r="L82" s="1281">
        <v>0</v>
      </c>
    </row>
    <row r="83" spans="1:12" ht="22.5" x14ac:dyDescent="0.2">
      <c r="A83" s="3"/>
      <c r="B83" s="3"/>
      <c r="C83" s="4" t="s">
        <v>122</v>
      </c>
      <c r="D83" s="5" t="s">
        <v>123</v>
      </c>
      <c r="E83" s="1280">
        <v>500000</v>
      </c>
      <c r="F83" s="1279">
        <f t="shared" si="33"/>
        <v>10000</v>
      </c>
      <c r="G83" s="1431" t="s">
        <v>143</v>
      </c>
      <c r="H83" s="1432">
        <v>592311.55000000005</v>
      </c>
      <c r="I83" s="1430">
        <f t="shared" si="31"/>
        <v>1.1613951960784314</v>
      </c>
      <c r="J83" s="1281">
        <v>2999.74</v>
      </c>
      <c r="K83" s="1281">
        <v>1197.74</v>
      </c>
      <c r="L83" s="1281">
        <v>0</v>
      </c>
    </row>
    <row r="84" spans="1:12" ht="22.5" x14ac:dyDescent="0.2">
      <c r="A84" s="3"/>
      <c r="B84" s="3"/>
      <c r="C84" s="4" t="s">
        <v>144</v>
      </c>
      <c r="D84" s="5" t="s">
        <v>145</v>
      </c>
      <c r="E84" s="1280">
        <v>0</v>
      </c>
      <c r="F84" s="1279">
        <f t="shared" si="33"/>
        <v>11000</v>
      </c>
      <c r="G84" s="1431" t="s">
        <v>124</v>
      </c>
      <c r="H84" s="1432">
        <v>12480</v>
      </c>
      <c r="I84" s="1430">
        <f t="shared" si="31"/>
        <v>1.1345454545454545</v>
      </c>
      <c r="J84" s="1281">
        <v>0</v>
      </c>
      <c r="K84" s="1281">
        <v>0</v>
      </c>
      <c r="L84" s="1281">
        <v>0</v>
      </c>
    </row>
    <row r="85" spans="1:12" x14ac:dyDescent="0.2">
      <c r="A85" s="3"/>
      <c r="B85" s="3"/>
      <c r="C85" s="4" t="s">
        <v>25</v>
      </c>
      <c r="D85" s="5" t="s">
        <v>26</v>
      </c>
      <c r="E85" s="1280">
        <v>11000</v>
      </c>
      <c r="F85" s="1279">
        <f t="shared" si="33"/>
        <v>-11000</v>
      </c>
      <c r="G85" s="1431" t="s">
        <v>7</v>
      </c>
      <c r="H85" s="1432">
        <v>0</v>
      </c>
      <c r="I85" s="1430">
        <v>0</v>
      </c>
      <c r="J85" s="1281">
        <v>0</v>
      </c>
      <c r="K85" s="1281">
        <v>0</v>
      </c>
      <c r="L85" s="1281">
        <v>0</v>
      </c>
    </row>
    <row r="86" spans="1:12" ht="22.5" x14ac:dyDescent="0.2">
      <c r="A86" s="3"/>
      <c r="B86" s="3"/>
      <c r="C86" s="4" t="s">
        <v>51</v>
      </c>
      <c r="D86" s="5" t="s">
        <v>52</v>
      </c>
      <c r="E86" s="1280">
        <v>30000</v>
      </c>
      <c r="F86" s="1279">
        <f t="shared" si="33"/>
        <v>0</v>
      </c>
      <c r="G86" s="1431" t="s">
        <v>138</v>
      </c>
      <c r="H86" s="1432">
        <v>26219.41</v>
      </c>
      <c r="I86" s="1430">
        <f t="shared" si="31"/>
        <v>0.87398033333333336</v>
      </c>
      <c r="J86" s="1281">
        <v>435346</v>
      </c>
      <c r="K86" s="1281">
        <v>0</v>
      </c>
      <c r="L86" s="1281">
        <v>0</v>
      </c>
    </row>
    <row r="87" spans="1:12" ht="33.75" x14ac:dyDescent="0.2">
      <c r="A87" s="2"/>
      <c r="B87" s="1600" t="s">
        <v>146</v>
      </c>
      <c r="C87" s="1601"/>
      <c r="D87" s="1602" t="s">
        <v>147</v>
      </c>
      <c r="E87" s="1603">
        <f>E88+E89+E90+E91+E92</f>
        <v>355000</v>
      </c>
      <c r="F87" s="1604">
        <f>F88+F89+F90+F91+F92</f>
        <v>-3200</v>
      </c>
      <c r="G87" s="1605">
        <f>G88+G89+G90+G91+G92</f>
        <v>351800</v>
      </c>
      <c r="H87" s="1605">
        <f>H88+H89+H90+H91+H92</f>
        <v>398663.30000000005</v>
      </c>
      <c r="I87" s="1606">
        <f t="shared" si="31"/>
        <v>1.1332100625355317</v>
      </c>
      <c r="J87" s="1603">
        <f>J88+J89+J90+J91+J92</f>
        <v>262827.3</v>
      </c>
      <c r="K87" s="1603">
        <f t="shared" ref="K87:L87" si="34">K88+K89+K90+K91+K92</f>
        <v>149664.29999999999</v>
      </c>
      <c r="L87" s="1603">
        <f t="shared" si="34"/>
        <v>0</v>
      </c>
    </row>
    <row r="88" spans="1:12" x14ac:dyDescent="0.2">
      <c r="A88" s="3"/>
      <c r="B88" s="3"/>
      <c r="C88" s="4" t="s">
        <v>148</v>
      </c>
      <c r="D88" s="5" t="s">
        <v>149</v>
      </c>
      <c r="E88" s="1280">
        <v>50000</v>
      </c>
      <c r="F88" s="1279">
        <f>G88-E88</f>
        <v>0</v>
      </c>
      <c r="G88" s="1431" t="s">
        <v>141</v>
      </c>
      <c r="H88" s="1432">
        <v>53975</v>
      </c>
      <c r="I88" s="1430">
        <f t="shared" si="31"/>
        <v>1.0794999999999999</v>
      </c>
      <c r="J88" s="1281">
        <v>0</v>
      </c>
      <c r="K88" s="1281">
        <v>0</v>
      </c>
      <c r="L88" s="1281">
        <v>0</v>
      </c>
    </row>
    <row r="89" spans="1:12" ht="22.5" x14ac:dyDescent="0.2">
      <c r="A89" s="3"/>
      <c r="B89" s="3"/>
      <c r="C89" s="4" t="s">
        <v>150</v>
      </c>
      <c r="D89" s="5" t="s">
        <v>151</v>
      </c>
      <c r="E89" s="1280">
        <v>300000</v>
      </c>
      <c r="F89" s="1279">
        <f t="shared" ref="F89:F90" si="35">G89-E89</f>
        <v>0</v>
      </c>
      <c r="G89" s="1431" t="s">
        <v>152</v>
      </c>
      <c r="H89" s="1432">
        <v>343579.9</v>
      </c>
      <c r="I89" s="1430">
        <f t="shared" si="31"/>
        <v>1.1452663333333335</v>
      </c>
      <c r="J89" s="1281">
        <v>0</v>
      </c>
      <c r="K89" s="1281">
        <v>0</v>
      </c>
      <c r="L89" s="1281">
        <v>0</v>
      </c>
    </row>
    <row r="90" spans="1:12" ht="45" x14ac:dyDescent="0.2">
      <c r="A90" s="3"/>
      <c r="B90" s="3"/>
      <c r="C90" s="4" t="s">
        <v>32</v>
      </c>
      <c r="D90" s="5" t="s">
        <v>33</v>
      </c>
      <c r="E90" s="1293">
        <v>5000</v>
      </c>
      <c r="F90" s="1294">
        <f t="shared" si="35"/>
        <v>-3200</v>
      </c>
      <c r="G90" s="1434" t="s">
        <v>153</v>
      </c>
      <c r="H90" s="1435">
        <v>108.4</v>
      </c>
      <c r="I90" s="1430">
        <f t="shared" si="31"/>
        <v>6.0222222222222226E-2</v>
      </c>
      <c r="J90" s="1295">
        <v>149664.29999999999</v>
      </c>
      <c r="K90" s="1295">
        <v>149664.29999999999</v>
      </c>
      <c r="L90" s="1295">
        <v>0</v>
      </c>
    </row>
    <row r="91" spans="1:12" x14ac:dyDescent="0.2">
      <c r="A91" s="1282"/>
      <c r="B91" s="1282"/>
      <c r="C91" s="4" t="s">
        <v>25</v>
      </c>
      <c r="D91" s="1299" t="s">
        <v>26</v>
      </c>
      <c r="E91" s="1298">
        <v>0</v>
      </c>
      <c r="F91" s="1427">
        <v>0</v>
      </c>
      <c r="G91" s="1436">
        <v>0</v>
      </c>
      <c r="H91" s="1432">
        <v>1000</v>
      </c>
      <c r="I91" s="1430">
        <v>0</v>
      </c>
      <c r="J91" s="1281">
        <v>0</v>
      </c>
      <c r="K91" s="1281">
        <v>0</v>
      </c>
      <c r="L91" s="1281">
        <v>0</v>
      </c>
    </row>
    <row r="92" spans="1:12" ht="22.5" x14ac:dyDescent="0.2">
      <c r="A92" s="1282"/>
      <c r="B92" s="1282"/>
      <c r="C92" s="4" t="s">
        <v>51</v>
      </c>
      <c r="D92" s="5" t="s">
        <v>52</v>
      </c>
      <c r="E92" s="1298">
        <v>0</v>
      </c>
      <c r="F92" s="1723">
        <v>0</v>
      </c>
      <c r="G92" s="1724">
        <v>0</v>
      </c>
      <c r="H92" s="1439">
        <v>0</v>
      </c>
      <c r="I92" s="1430">
        <v>0</v>
      </c>
      <c r="J92" s="1281">
        <v>113163</v>
      </c>
      <c r="K92" s="1281">
        <v>0</v>
      </c>
      <c r="L92" s="1281">
        <v>0</v>
      </c>
    </row>
    <row r="93" spans="1:12" ht="22.5" x14ac:dyDescent="0.2">
      <c r="A93" s="2"/>
      <c r="B93" s="1600" t="s">
        <v>154</v>
      </c>
      <c r="C93" s="1601"/>
      <c r="D93" s="1602" t="s">
        <v>155</v>
      </c>
      <c r="E93" s="1612">
        <f>E94+E95</f>
        <v>11001438</v>
      </c>
      <c r="F93" s="1613">
        <f t="shared" ref="F93:L93" si="36">F94+F95</f>
        <v>415904</v>
      </c>
      <c r="G93" s="1614">
        <f t="shared" si="36"/>
        <v>11417342</v>
      </c>
      <c r="H93" s="1614">
        <f t="shared" si="36"/>
        <v>11787165.33</v>
      </c>
      <c r="I93" s="1721">
        <f t="shared" si="31"/>
        <v>1.0323913683237307</v>
      </c>
      <c r="J93" s="1722">
        <f t="shared" si="36"/>
        <v>-101.17</v>
      </c>
      <c r="K93" s="1722">
        <f t="shared" si="36"/>
        <v>0</v>
      </c>
      <c r="L93" s="1612">
        <f t="shared" si="36"/>
        <v>0</v>
      </c>
    </row>
    <row r="94" spans="1:12" ht="22.5" x14ac:dyDescent="0.2">
      <c r="A94" s="3"/>
      <c r="B94" s="3"/>
      <c r="C94" s="4" t="s">
        <v>156</v>
      </c>
      <c r="D94" s="5" t="s">
        <v>104</v>
      </c>
      <c r="E94" s="1280">
        <v>9801438</v>
      </c>
      <c r="F94" s="1279">
        <f>G94-E94</f>
        <v>-4096</v>
      </c>
      <c r="G94" s="1431" t="s">
        <v>157</v>
      </c>
      <c r="H94" s="1432">
        <v>10019713</v>
      </c>
      <c r="I94" s="1430">
        <f t="shared" si="31"/>
        <v>1.0226970743697628</v>
      </c>
      <c r="J94" s="1281"/>
      <c r="K94" s="1281"/>
      <c r="L94" s="1281"/>
    </row>
    <row r="95" spans="1:12" ht="22.5" x14ac:dyDescent="0.2">
      <c r="A95" s="3"/>
      <c r="B95" s="3"/>
      <c r="C95" s="4" t="s">
        <v>158</v>
      </c>
      <c r="D95" s="5" t="s">
        <v>159</v>
      </c>
      <c r="E95" s="1280">
        <v>1200000</v>
      </c>
      <c r="F95" s="1279">
        <f>G95-E95</f>
        <v>420000</v>
      </c>
      <c r="G95" s="1431" t="s">
        <v>160</v>
      </c>
      <c r="H95" s="1432">
        <v>1767452.33</v>
      </c>
      <c r="I95" s="1430">
        <f t="shared" si="31"/>
        <v>1.0910199567901235</v>
      </c>
      <c r="J95" s="1281">
        <v>-101.17</v>
      </c>
      <c r="K95" s="1281">
        <v>0</v>
      </c>
      <c r="L95" s="1281">
        <v>0</v>
      </c>
    </row>
    <row r="96" spans="1:12" x14ac:dyDescent="0.2">
      <c r="A96" s="1588" t="s">
        <v>161</v>
      </c>
      <c r="B96" s="1588"/>
      <c r="C96" s="1588"/>
      <c r="D96" s="1589" t="s">
        <v>162</v>
      </c>
      <c r="E96" s="1590">
        <f>E97+E99+E101+E111</f>
        <v>18170958</v>
      </c>
      <c r="F96" s="1591">
        <f t="shared" ref="F96:L96" si="37">F97+F99+F101+F111</f>
        <v>2991349.7</v>
      </c>
      <c r="G96" s="1592">
        <f t="shared" si="37"/>
        <v>21162307.699999999</v>
      </c>
      <c r="H96" s="1592">
        <f t="shared" si="37"/>
        <v>21254729.93</v>
      </c>
      <c r="I96" s="1593">
        <f t="shared" si="31"/>
        <v>1.0043673039495593</v>
      </c>
      <c r="J96" s="1590">
        <f t="shared" si="37"/>
        <v>0</v>
      </c>
      <c r="K96" s="1590">
        <f t="shared" si="37"/>
        <v>0</v>
      </c>
      <c r="L96" s="1590">
        <f t="shared" si="37"/>
        <v>0</v>
      </c>
    </row>
    <row r="97" spans="1:12" ht="22.5" x14ac:dyDescent="0.2">
      <c r="A97" s="2"/>
      <c r="B97" s="1600" t="s">
        <v>163</v>
      </c>
      <c r="C97" s="1601"/>
      <c r="D97" s="1602" t="s">
        <v>164</v>
      </c>
      <c r="E97" s="1603">
        <f>E98</f>
        <v>13690449</v>
      </c>
      <c r="F97" s="1604">
        <f t="shared" ref="F97:L97" si="38">F98</f>
        <v>-35288</v>
      </c>
      <c r="G97" s="1605" t="str">
        <f t="shared" si="38"/>
        <v>13 655 161,00</v>
      </c>
      <c r="H97" s="1605">
        <f t="shared" si="38"/>
        <v>13655161</v>
      </c>
      <c r="I97" s="1606">
        <f t="shared" si="31"/>
        <v>1</v>
      </c>
      <c r="J97" s="1603">
        <f t="shared" si="38"/>
        <v>0</v>
      </c>
      <c r="K97" s="1603">
        <f t="shared" si="38"/>
        <v>0</v>
      </c>
      <c r="L97" s="1603">
        <f t="shared" si="38"/>
        <v>0</v>
      </c>
    </row>
    <row r="98" spans="1:12" x14ac:dyDescent="0.2">
      <c r="A98" s="3"/>
      <c r="B98" s="3"/>
      <c r="C98" s="4" t="s">
        <v>166</v>
      </c>
      <c r="D98" s="5" t="s">
        <v>167</v>
      </c>
      <c r="E98" s="1280">
        <v>13690449</v>
      </c>
      <c r="F98" s="1279">
        <f>G98-E98</f>
        <v>-35288</v>
      </c>
      <c r="G98" s="1431" t="s">
        <v>165</v>
      </c>
      <c r="H98" s="1432">
        <v>13655161</v>
      </c>
      <c r="I98" s="1430">
        <f t="shared" si="31"/>
        <v>1</v>
      </c>
      <c r="J98" s="1281">
        <v>0</v>
      </c>
      <c r="K98" s="1281">
        <v>0</v>
      </c>
      <c r="L98" s="1281">
        <v>0</v>
      </c>
    </row>
    <row r="99" spans="1:12" ht="22.5" x14ac:dyDescent="0.2">
      <c r="A99" s="2"/>
      <c r="B99" s="1600" t="s">
        <v>168</v>
      </c>
      <c r="C99" s="1601"/>
      <c r="D99" s="1602" t="s">
        <v>169</v>
      </c>
      <c r="E99" s="1603">
        <f>E100</f>
        <v>4101188</v>
      </c>
      <c r="F99" s="1604">
        <f t="shared" ref="F99:L99" si="39">F100</f>
        <v>0</v>
      </c>
      <c r="G99" s="1605" t="str">
        <f t="shared" si="39"/>
        <v>4 101 188,00</v>
      </c>
      <c r="H99" s="1605">
        <f t="shared" si="39"/>
        <v>4101188</v>
      </c>
      <c r="I99" s="1606">
        <f t="shared" si="31"/>
        <v>1</v>
      </c>
      <c r="J99" s="1603">
        <f t="shared" si="39"/>
        <v>0</v>
      </c>
      <c r="K99" s="1603">
        <f t="shared" si="39"/>
        <v>0</v>
      </c>
      <c r="L99" s="1603">
        <f t="shared" si="39"/>
        <v>0</v>
      </c>
    </row>
    <row r="100" spans="1:12" x14ac:dyDescent="0.2">
      <c r="A100" s="3"/>
      <c r="B100" s="3"/>
      <c r="C100" s="4" t="s">
        <v>166</v>
      </c>
      <c r="D100" s="5" t="s">
        <v>167</v>
      </c>
      <c r="E100" s="1280">
        <v>4101188</v>
      </c>
      <c r="F100" s="1279">
        <f>G100-E100</f>
        <v>0</v>
      </c>
      <c r="G100" s="1431" t="s">
        <v>170</v>
      </c>
      <c r="H100" s="1432">
        <v>4101188</v>
      </c>
      <c r="I100" s="1430">
        <f t="shared" si="31"/>
        <v>1</v>
      </c>
      <c r="J100" s="1281">
        <v>0</v>
      </c>
      <c r="K100" s="1281">
        <v>0</v>
      </c>
      <c r="L100" s="1281">
        <v>0</v>
      </c>
    </row>
    <row r="101" spans="1:12" ht="15" x14ac:dyDescent="0.2">
      <c r="A101" s="2"/>
      <c r="B101" s="1600" t="s">
        <v>171</v>
      </c>
      <c r="C101" s="1607"/>
      <c r="D101" s="1608" t="s">
        <v>172</v>
      </c>
      <c r="E101" s="1609">
        <f>E102+E103+E104+E105+E106+E107+E108+E109+E110</f>
        <v>110000</v>
      </c>
      <c r="F101" s="1610">
        <f t="shared" ref="F101:L101" si="40">F102+F103+F104+F105+F106+F107+F108+F109+F110</f>
        <v>3026637.7</v>
      </c>
      <c r="G101" s="1611">
        <f t="shared" si="40"/>
        <v>3136637.7</v>
      </c>
      <c r="H101" s="1611">
        <f t="shared" si="40"/>
        <v>3229059.93</v>
      </c>
      <c r="I101" s="1606">
        <f t="shared" si="31"/>
        <v>1.0294653826293039</v>
      </c>
      <c r="J101" s="1609">
        <f t="shared" si="40"/>
        <v>0</v>
      </c>
      <c r="K101" s="1609">
        <f t="shared" si="40"/>
        <v>0</v>
      </c>
      <c r="L101" s="1609">
        <f t="shared" si="40"/>
        <v>0</v>
      </c>
    </row>
    <row r="102" spans="1:12" s="1287" customFormat="1" ht="33.75" x14ac:dyDescent="0.2">
      <c r="A102" s="1305"/>
      <c r="B102" s="1306"/>
      <c r="C102" s="1311" t="s">
        <v>1470</v>
      </c>
      <c r="D102" s="1312" t="s">
        <v>1471</v>
      </c>
      <c r="E102" s="1310">
        <v>0</v>
      </c>
      <c r="F102" s="1428">
        <v>0</v>
      </c>
      <c r="G102" s="1437">
        <v>0</v>
      </c>
      <c r="H102" s="1437">
        <v>400</v>
      </c>
      <c r="I102" s="1430">
        <v>0</v>
      </c>
      <c r="J102" s="1310">
        <v>0</v>
      </c>
      <c r="K102" s="1310">
        <v>0</v>
      </c>
      <c r="L102" s="1310">
        <v>0</v>
      </c>
    </row>
    <row r="103" spans="1:12" s="1287" customFormat="1" ht="33.75" x14ac:dyDescent="0.2">
      <c r="A103" s="1305"/>
      <c r="B103" s="1306"/>
      <c r="C103" s="1311" t="s">
        <v>1472</v>
      </c>
      <c r="D103" s="1312" t="s">
        <v>1475</v>
      </c>
      <c r="E103" s="1310">
        <v>0</v>
      </c>
      <c r="F103" s="1428">
        <v>0</v>
      </c>
      <c r="G103" s="1437">
        <v>0</v>
      </c>
      <c r="H103" s="1437">
        <v>78</v>
      </c>
      <c r="I103" s="1430">
        <v>0</v>
      </c>
      <c r="J103" s="1310">
        <v>0</v>
      </c>
      <c r="K103" s="1310">
        <v>0</v>
      </c>
      <c r="L103" s="1310">
        <v>0</v>
      </c>
    </row>
    <row r="104" spans="1:12" s="1287" customFormat="1" ht="15" x14ac:dyDescent="0.2">
      <c r="A104" s="1305"/>
      <c r="B104" s="1306"/>
      <c r="C104" s="4" t="s">
        <v>25</v>
      </c>
      <c r="D104" s="1299" t="s">
        <v>26</v>
      </c>
      <c r="E104" s="1310">
        <v>0</v>
      </c>
      <c r="F104" s="1428">
        <v>0</v>
      </c>
      <c r="G104" s="1437">
        <v>0</v>
      </c>
      <c r="H104" s="1437">
        <v>21.8</v>
      </c>
      <c r="I104" s="1430">
        <v>0</v>
      </c>
      <c r="J104" s="1310">
        <v>0</v>
      </c>
      <c r="K104" s="1310">
        <v>0</v>
      </c>
      <c r="L104" s="1310">
        <v>0</v>
      </c>
    </row>
    <row r="105" spans="1:12" x14ac:dyDescent="0.2">
      <c r="A105" s="3"/>
      <c r="B105" s="1290"/>
      <c r="C105" s="1304" t="s">
        <v>54</v>
      </c>
      <c r="D105" s="1297" t="s">
        <v>55</v>
      </c>
      <c r="E105" s="1298">
        <v>80000</v>
      </c>
      <c r="F105" s="1427">
        <f>G105-E105</f>
        <v>-20000</v>
      </c>
      <c r="G105" s="1436" t="s">
        <v>105</v>
      </c>
      <c r="H105" s="1432">
        <v>62104.54</v>
      </c>
      <c r="I105" s="1430">
        <f t="shared" si="31"/>
        <v>1.0350756666666667</v>
      </c>
      <c r="J105" s="1281">
        <v>0</v>
      </c>
      <c r="K105" s="1281">
        <v>0</v>
      </c>
      <c r="L105" s="1281">
        <v>0</v>
      </c>
    </row>
    <row r="106" spans="1:12" x14ac:dyDescent="0.2">
      <c r="A106" s="1282"/>
      <c r="B106" s="1290"/>
      <c r="C106" s="1296" t="s">
        <v>1473</v>
      </c>
      <c r="D106" s="1297" t="s">
        <v>1476</v>
      </c>
      <c r="E106" s="1298">
        <v>0</v>
      </c>
      <c r="F106" s="1427">
        <v>0</v>
      </c>
      <c r="G106" s="1436">
        <v>0</v>
      </c>
      <c r="H106" s="1432">
        <v>4201.5200000000004</v>
      </c>
      <c r="I106" s="1430">
        <v>0</v>
      </c>
      <c r="J106" s="1281">
        <v>0</v>
      </c>
      <c r="K106" s="1281">
        <v>0</v>
      </c>
      <c r="L106" s="1281">
        <v>0</v>
      </c>
    </row>
    <row r="107" spans="1:12" x14ac:dyDescent="0.2">
      <c r="A107" s="3"/>
      <c r="B107" s="1290"/>
      <c r="C107" s="1304" t="s">
        <v>80</v>
      </c>
      <c r="D107" s="1297" t="s">
        <v>81</v>
      </c>
      <c r="E107" s="1298">
        <v>30000</v>
      </c>
      <c r="F107" s="1427">
        <f t="shared" ref="F107:F109" si="41">G107-E107</f>
        <v>2954534.11</v>
      </c>
      <c r="G107" s="1436" t="s">
        <v>174</v>
      </c>
      <c r="H107" s="1432">
        <v>3066502.17</v>
      </c>
      <c r="I107" s="1430">
        <f t="shared" si="31"/>
        <v>1.0274642731424504</v>
      </c>
      <c r="J107" s="1281">
        <v>0</v>
      </c>
      <c r="K107" s="1281">
        <v>0</v>
      </c>
      <c r="L107" s="1281">
        <v>0</v>
      </c>
    </row>
    <row r="108" spans="1:12" ht="45" x14ac:dyDescent="0.2">
      <c r="A108" s="3"/>
      <c r="B108" s="1290"/>
      <c r="C108" s="1304" t="s">
        <v>175</v>
      </c>
      <c r="D108" s="1297" t="s">
        <v>176</v>
      </c>
      <c r="E108" s="1298">
        <v>0</v>
      </c>
      <c r="F108" s="1427">
        <f t="shared" si="41"/>
        <v>84081.95</v>
      </c>
      <c r="G108" s="1436" t="s">
        <v>177</v>
      </c>
      <c r="H108" s="1432">
        <v>84081.95</v>
      </c>
      <c r="I108" s="1430">
        <f t="shared" si="31"/>
        <v>1</v>
      </c>
      <c r="J108" s="1281">
        <v>0</v>
      </c>
      <c r="K108" s="1281">
        <v>0</v>
      </c>
      <c r="L108" s="1281">
        <v>0</v>
      </c>
    </row>
    <row r="109" spans="1:12" ht="45" x14ac:dyDescent="0.2">
      <c r="A109" s="3"/>
      <c r="B109" s="1290"/>
      <c r="C109" s="1304" t="s">
        <v>178</v>
      </c>
      <c r="D109" s="1297" t="s">
        <v>179</v>
      </c>
      <c r="E109" s="1298">
        <v>0</v>
      </c>
      <c r="F109" s="1427">
        <f t="shared" si="41"/>
        <v>8021.64</v>
      </c>
      <c r="G109" s="1436" t="s">
        <v>180</v>
      </c>
      <c r="H109" s="1432">
        <v>8021.64</v>
      </c>
      <c r="I109" s="1430">
        <f t="shared" si="31"/>
        <v>1</v>
      </c>
      <c r="J109" s="1281">
        <v>0</v>
      </c>
      <c r="K109" s="1281">
        <v>0</v>
      </c>
      <c r="L109" s="1281">
        <v>0</v>
      </c>
    </row>
    <row r="110" spans="1:12" ht="39.75" customHeight="1" x14ac:dyDescent="0.2">
      <c r="A110" s="1282"/>
      <c r="B110" s="1290"/>
      <c r="C110" s="1304" t="s">
        <v>1474</v>
      </c>
      <c r="D110" s="1297" t="s">
        <v>1477</v>
      </c>
      <c r="E110" s="1298">
        <v>0</v>
      </c>
      <c r="F110" s="1427">
        <v>0</v>
      </c>
      <c r="G110" s="1436">
        <v>0</v>
      </c>
      <c r="H110" s="1432">
        <v>3648.31</v>
      </c>
      <c r="I110" s="1430">
        <v>0</v>
      </c>
      <c r="J110" s="1281">
        <v>0</v>
      </c>
      <c r="K110" s="1281">
        <v>0</v>
      </c>
      <c r="L110" s="1281">
        <v>0</v>
      </c>
    </row>
    <row r="111" spans="1:12" ht="22.5" x14ac:dyDescent="0.2">
      <c r="A111" s="2"/>
      <c r="B111" s="1600" t="s">
        <v>181</v>
      </c>
      <c r="C111" s="1615"/>
      <c r="D111" s="1616" t="s">
        <v>182</v>
      </c>
      <c r="E111" s="1612">
        <f>E112</f>
        <v>269321</v>
      </c>
      <c r="F111" s="1613">
        <f t="shared" ref="F111:L111" si="42">F112</f>
        <v>0</v>
      </c>
      <c r="G111" s="1614" t="str">
        <f t="shared" si="42"/>
        <v>269 321,00</v>
      </c>
      <c r="H111" s="1614">
        <f t="shared" si="42"/>
        <v>269321</v>
      </c>
      <c r="I111" s="1606">
        <f t="shared" si="31"/>
        <v>1</v>
      </c>
      <c r="J111" s="1612">
        <f t="shared" si="42"/>
        <v>0</v>
      </c>
      <c r="K111" s="1612">
        <f t="shared" si="42"/>
        <v>0</v>
      </c>
      <c r="L111" s="1612">
        <f t="shared" si="42"/>
        <v>0</v>
      </c>
    </row>
    <row r="112" spans="1:12" x14ac:dyDescent="0.2">
      <c r="A112" s="3"/>
      <c r="B112" s="3"/>
      <c r="C112" s="4" t="s">
        <v>166</v>
      </c>
      <c r="D112" s="5" t="s">
        <v>167</v>
      </c>
      <c r="E112" s="1280">
        <v>269321</v>
      </c>
      <c r="F112" s="1279">
        <f>G112-E112</f>
        <v>0</v>
      </c>
      <c r="G112" s="1431" t="s">
        <v>183</v>
      </c>
      <c r="H112" s="1432">
        <v>269321</v>
      </c>
      <c r="I112" s="1430">
        <f t="shared" si="31"/>
        <v>1</v>
      </c>
      <c r="J112" s="1281">
        <v>0</v>
      </c>
      <c r="K112" s="1281">
        <v>0</v>
      </c>
      <c r="L112" s="1281">
        <v>0</v>
      </c>
    </row>
    <row r="113" spans="1:12" x14ac:dyDescent="0.2">
      <c r="A113" s="1588" t="s">
        <v>184</v>
      </c>
      <c r="B113" s="1588"/>
      <c r="C113" s="1588"/>
      <c r="D113" s="1589" t="s">
        <v>185</v>
      </c>
      <c r="E113" s="1590">
        <f>E114+E122+E124+E131+E135+E138+E140</f>
        <v>1620636</v>
      </c>
      <c r="F113" s="1591">
        <f t="shared" ref="F113:L113" si="43">F114+F122+F124+F131+F135+F138+F140</f>
        <v>930422.9800000001</v>
      </c>
      <c r="G113" s="1592">
        <f t="shared" si="43"/>
        <v>2551058.9800000004</v>
      </c>
      <c r="H113" s="1592">
        <f t="shared" si="43"/>
        <v>2361029.9</v>
      </c>
      <c r="I113" s="1593">
        <f t="shared" si="31"/>
        <v>0.92550972694484679</v>
      </c>
      <c r="J113" s="1590">
        <f t="shared" si="43"/>
        <v>1546.6599999999999</v>
      </c>
      <c r="K113" s="1590">
        <f t="shared" si="43"/>
        <v>1466.5</v>
      </c>
      <c r="L113" s="1590">
        <f t="shared" si="43"/>
        <v>0</v>
      </c>
    </row>
    <row r="114" spans="1:12" ht="15" x14ac:dyDescent="0.2">
      <c r="A114" s="2"/>
      <c r="B114" s="1600" t="s">
        <v>186</v>
      </c>
      <c r="C114" s="1607"/>
      <c r="D114" s="1608" t="s">
        <v>187</v>
      </c>
      <c r="E114" s="1609">
        <f>E117+E119+E120+E121+E118+E115+E116</f>
        <v>30000</v>
      </c>
      <c r="F114" s="1610">
        <f t="shared" ref="F114:K114" si="44">F117+F119+F120+F121+F118+F115+F116</f>
        <v>249630.22</v>
      </c>
      <c r="G114" s="1611">
        <f t="shared" si="44"/>
        <v>279630.22000000003</v>
      </c>
      <c r="H114" s="1611">
        <f t="shared" si="44"/>
        <v>281894.65999999997</v>
      </c>
      <c r="I114" s="1606">
        <f t="shared" si="31"/>
        <v>1.0080979802540653</v>
      </c>
      <c r="J114" s="1609">
        <f t="shared" si="44"/>
        <v>1266.5</v>
      </c>
      <c r="K114" s="1609">
        <f t="shared" si="44"/>
        <v>1266.5</v>
      </c>
      <c r="L114" s="1609">
        <f>L117+L119+L120+L121+L118+L115+L116</f>
        <v>0</v>
      </c>
    </row>
    <row r="115" spans="1:12" s="1287" customFormat="1" ht="22.5" x14ac:dyDescent="0.2">
      <c r="A115" s="1305"/>
      <c r="B115" s="1306"/>
      <c r="C115" s="1311" t="s">
        <v>77</v>
      </c>
      <c r="D115" s="5" t="s">
        <v>78</v>
      </c>
      <c r="E115" s="1310">
        <v>0</v>
      </c>
      <c r="F115" s="1428">
        <v>0</v>
      </c>
      <c r="G115" s="1437">
        <v>0</v>
      </c>
      <c r="H115" s="1437">
        <v>83.5</v>
      </c>
      <c r="I115" s="1430">
        <v>0</v>
      </c>
      <c r="J115" s="1310">
        <v>1266.5</v>
      </c>
      <c r="K115" s="1310">
        <v>1266.5</v>
      </c>
      <c r="L115" s="1310">
        <v>0</v>
      </c>
    </row>
    <row r="116" spans="1:12" s="1287" customFormat="1" ht="15" x14ac:dyDescent="0.2">
      <c r="A116" s="1305"/>
      <c r="B116" s="1306"/>
      <c r="C116" s="1311" t="s">
        <v>25</v>
      </c>
      <c r="D116" s="1299" t="s">
        <v>26</v>
      </c>
      <c r="E116" s="1310">
        <v>0</v>
      </c>
      <c r="F116" s="1428">
        <v>0</v>
      </c>
      <c r="G116" s="1437">
        <v>0</v>
      </c>
      <c r="H116" s="1437">
        <v>52</v>
      </c>
      <c r="I116" s="1430">
        <v>0</v>
      </c>
      <c r="J116" s="1310">
        <v>0</v>
      </c>
      <c r="K116" s="1310">
        <v>0</v>
      </c>
      <c r="L116" s="1307">
        <v>0</v>
      </c>
    </row>
    <row r="117" spans="1:12" ht="67.5" x14ac:dyDescent="0.2">
      <c r="A117" s="3"/>
      <c r="B117" s="3"/>
      <c r="C117" s="1300" t="s">
        <v>15</v>
      </c>
      <c r="D117" s="1301" t="s">
        <v>16</v>
      </c>
      <c r="E117" s="1302">
        <v>30000</v>
      </c>
      <c r="F117" s="1429">
        <f>G117-E117</f>
        <v>0</v>
      </c>
      <c r="G117" s="1438" t="s">
        <v>138</v>
      </c>
      <c r="H117" s="1439">
        <v>34394.449999999997</v>
      </c>
      <c r="I117" s="1430">
        <f t="shared" si="31"/>
        <v>1.1464816666666666</v>
      </c>
      <c r="J117" s="1303">
        <v>0</v>
      </c>
      <c r="K117" s="1303">
        <v>0</v>
      </c>
      <c r="L117" s="1303">
        <v>0</v>
      </c>
    </row>
    <row r="118" spans="1:12" ht="22.5" x14ac:dyDescent="0.2">
      <c r="A118" s="1282"/>
      <c r="B118" s="1282"/>
      <c r="C118" s="1314" t="s">
        <v>1464</v>
      </c>
      <c r="D118" s="1277" t="s">
        <v>1465</v>
      </c>
      <c r="E118" s="1302">
        <v>0</v>
      </c>
      <c r="F118" s="1429">
        <v>0</v>
      </c>
      <c r="G118" s="1438">
        <v>0</v>
      </c>
      <c r="H118" s="1439">
        <v>719.6</v>
      </c>
      <c r="I118" s="1430">
        <v>0</v>
      </c>
      <c r="J118" s="1303">
        <v>0</v>
      </c>
      <c r="K118" s="1303">
        <v>0</v>
      </c>
      <c r="L118" s="1303">
        <v>0</v>
      </c>
    </row>
    <row r="119" spans="1:12" x14ac:dyDescent="0.2">
      <c r="A119" s="3"/>
      <c r="B119" s="3"/>
      <c r="C119" s="4" t="s">
        <v>80</v>
      </c>
      <c r="D119" s="5" t="s">
        <v>81</v>
      </c>
      <c r="E119" s="1280">
        <v>0</v>
      </c>
      <c r="F119" s="1279">
        <f t="shared" ref="F119:F121" si="45">G119-E119</f>
        <v>6307</v>
      </c>
      <c r="G119" s="1431" t="s">
        <v>188</v>
      </c>
      <c r="H119" s="1432">
        <v>7061.66</v>
      </c>
      <c r="I119" s="1430">
        <f t="shared" si="31"/>
        <v>1.1196543523069604</v>
      </c>
      <c r="J119" s="1281">
        <v>0</v>
      </c>
      <c r="K119" s="1281">
        <v>0</v>
      </c>
      <c r="L119" s="1281">
        <v>0</v>
      </c>
    </row>
    <row r="120" spans="1:12" ht="56.25" x14ac:dyDescent="0.2">
      <c r="A120" s="3"/>
      <c r="B120" s="3"/>
      <c r="C120" s="4" t="s">
        <v>18</v>
      </c>
      <c r="D120" s="5" t="s">
        <v>19</v>
      </c>
      <c r="E120" s="1280">
        <v>0</v>
      </c>
      <c r="F120" s="1279">
        <f t="shared" si="45"/>
        <v>193980.23</v>
      </c>
      <c r="G120" s="1431" t="s">
        <v>189</v>
      </c>
      <c r="H120" s="1432">
        <f>191271.83-0.02</f>
        <v>191271.81</v>
      </c>
      <c r="I120" s="1430">
        <f t="shared" si="31"/>
        <v>0.98603764930065285</v>
      </c>
      <c r="J120" s="1281">
        <v>0</v>
      </c>
      <c r="K120" s="1281">
        <v>0</v>
      </c>
      <c r="L120" s="1281">
        <v>0</v>
      </c>
    </row>
    <row r="121" spans="1:12" ht="45" x14ac:dyDescent="0.2">
      <c r="A121" s="3"/>
      <c r="B121" s="3"/>
      <c r="C121" s="4" t="s">
        <v>175</v>
      </c>
      <c r="D121" s="5" t="s">
        <v>176</v>
      </c>
      <c r="E121" s="1280">
        <v>0</v>
      </c>
      <c r="F121" s="1279">
        <f t="shared" si="45"/>
        <v>49342.99</v>
      </c>
      <c r="G121" s="1431" t="s">
        <v>190</v>
      </c>
      <c r="H121" s="1432">
        <v>48311.64</v>
      </c>
      <c r="I121" s="1430">
        <f t="shared" si="31"/>
        <v>0.97909834811388607</v>
      </c>
      <c r="J121" s="1281">
        <v>0</v>
      </c>
      <c r="K121" s="1281">
        <v>0</v>
      </c>
      <c r="L121" s="1281">
        <v>0</v>
      </c>
    </row>
    <row r="122" spans="1:12" ht="22.5" x14ac:dyDescent="0.2">
      <c r="A122" s="2"/>
      <c r="B122" s="1600" t="s">
        <v>191</v>
      </c>
      <c r="C122" s="1601"/>
      <c r="D122" s="1602" t="s">
        <v>192</v>
      </c>
      <c r="E122" s="1603">
        <f>E123</f>
        <v>181968</v>
      </c>
      <c r="F122" s="1604">
        <f t="shared" ref="F122:L122" si="46">F123</f>
        <v>-96336</v>
      </c>
      <c r="G122" s="1605" t="str">
        <f t="shared" si="46"/>
        <v>85 632,00</v>
      </c>
      <c r="H122" s="1605">
        <f>H123</f>
        <v>83402</v>
      </c>
      <c r="I122" s="1606">
        <f t="shared" si="31"/>
        <v>0.97395833333333337</v>
      </c>
      <c r="J122" s="1603">
        <f t="shared" si="46"/>
        <v>0</v>
      </c>
      <c r="K122" s="1603">
        <f t="shared" si="46"/>
        <v>0</v>
      </c>
      <c r="L122" s="1603">
        <f t="shared" si="46"/>
        <v>0</v>
      </c>
    </row>
    <row r="123" spans="1:12" ht="45" x14ac:dyDescent="0.2">
      <c r="A123" s="3"/>
      <c r="B123" s="3"/>
      <c r="C123" s="4" t="s">
        <v>175</v>
      </c>
      <c r="D123" s="5" t="s">
        <v>176</v>
      </c>
      <c r="E123" s="1280">
        <v>181968</v>
      </c>
      <c r="F123" s="1279">
        <f>G123-E123</f>
        <v>-96336</v>
      </c>
      <c r="G123" s="1431" t="s">
        <v>193</v>
      </c>
      <c r="H123" s="1432">
        <v>83402</v>
      </c>
      <c r="I123" s="1430">
        <f t="shared" si="31"/>
        <v>0.97395833333333337</v>
      </c>
      <c r="J123" s="1281">
        <v>0</v>
      </c>
      <c r="K123" s="1281">
        <v>0</v>
      </c>
      <c r="L123" s="1281">
        <v>0</v>
      </c>
    </row>
    <row r="124" spans="1:12" ht="15" x14ac:dyDescent="0.2">
      <c r="A124" s="2"/>
      <c r="B124" s="1600" t="s">
        <v>194</v>
      </c>
      <c r="C124" s="1601"/>
      <c r="D124" s="1602" t="s">
        <v>195</v>
      </c>
      <c r="E124" s="1603">
        <f>E125+E126+E127+E128+E129+E130</f>
        <v>1141668</v>
      </c>
      <c r="F124" s="1604">
        <f t="shared" ref="F124:L124" si="47">F125+F126+F127+F128+F129+F130</f>
        <v>-107408</v>
      </c>
      <c r="G124" s="1605">
        <f t="shared" si="47"/>
        <v>1034260</v>
      </c>
      <c r="H124" s="1605">
        <f t="shared" si="47"/>
        <v>951378.88</v>
      </c>
      <c r="I124" s="1606">
        <f t="shared" si="31"/>
        <v>0.91986432811865493</v>
      </c>
      <c r="J124" s="1603">
        <f t="shared" si="47"/>
        <v>280.15999999999997</v>
      </c>
      <c r="K124" s="1603">
        <f t="shared" si="47"/>
        <v>200</v>
      </c>
      <c r="L124" s="1603">
        <f t="shared" si="47"/>
        <v>0</v>
      </c>
    </row>
    <row r="125" spans="1:12" ht="22.5" x14ac:dyDescent="0.2">
      <c r="A125" s="3"/>
      <c r="B125" s="3"/>
      <c r="C125" s="4" t="s">
        <v>196</v>
      </c>
      <c r="D125" s="5" t="s">
        <v>197</v>
      </c>
      <c r="E125" s="1280">
        <v>134300</v>
      </c>
      <c r="F125" s="1279">
        <f>G125-E125</f>
        <v>0</v>
      </c>
      <c r="G125" s="1431" t="s">
        <v>198</v>
      </c>
      <c r="H125" s="1432">
        <v>83290</v>
      </c>
      <c r="I125" s="1430">
        <f t="shared" si="31"/>
        <v>0.6201787043931497</v>
      </c>
      <c r="J125" s="1281">
        <v>200</v>
      </c>
      <c r="K125" s="1281">
        <v>200</v>
      </c>
      <c r="L125" s="1281">
        <v>0</v>
      </c>
    </row>
    <row r="126" spans="1:12" ht="45" x14ac:dyDescent="0.2">
      <c r="A126" s="3"/>
      <c r="B126" s="3"/>
      <c r="C126" s="4" t="s">
        <v>199</v>
      </c>
      <c r="D126" s="5" t="s">
        <v>200</v>
      </c>
      <c r="E126" s="1280">
        <v>355000</v>
      </c>
      <c r="F126" s="1279">
        <f t="shared" ref="F126:F130" si="48">G126-E126</f>
        <v>33800</v>
      </c>
      <c r="G126" s="1431" t="s">
        <v>201</v>
      </c>
      <c r="H126" s="1432">
        <v>350603</v>
      </c>
      <c r="I126" s="1430">
        <f t="shared" si="31"/>
        <v>0.90175668724279834</v>
      </c>
      <c r="J126" s="1281">
        <v>0</v>
      </c>
      <c r="K126" s="1281">
        <v>0</v>
      </c>
      <c r="L126" s="1281">
        <v>0</v>
      </c>
    </row>
    <row r="127" spans="1:12" ht="67.5" x14ac:dyDescent="0.2">
      <c r="A127" s="3"/>
      <c r="B127" s="3"/>
      <c r="C127" s="4" t="s">
        <v>15</v>
      </c>
      <c r="D127" s="5" t="s">
        <v>16</v>
      </c>
      <c r="E127" s="1280">
        <v>4290</v>
      </c>
      <c r="F127" s="1279">
        <f t="shared" si="48"/>
        <v>0</v>
      </c>
      <c r="G127" s="1431" t="s">
        <v>202</v>
      </c>
      <c r="H127" s="1432">
        <v>4275.4799999999996</v>
      </c>
      <c r="I127" s="1430">
        <f t="shared" si="31"/>
        <v>0.99661538461538446</v>
      </c>
      <c r="J127" s="1281">
        <v>0</v>
      </c>
      <c r="K127" s="1281">
        <v>0</v>
      </c>
      <c r="L127" s="1281">
        <v>0</v>
      </c>
    </row>
    <row r="128" spans="1:12" x14ac:dyDescent="0.2">
      <c r="A128" s="3"/>
      <c r="B128" s="3"/>
      <c r="C128" s="4" t="s">
        <v>80</v>
      </c>
      <c r="D128" s="5" t="s">
        <v>81</v>
      </c>
      <c r="E128" s="1280">
        <v>4500</v>
      </c>
      <c r="F128" s="1279">
        <f t="shared" si="48"/>
        <v>0</v>
      </c>
      <c r="G128" s="1431" t="s">
        <v>203</v>
      </c>
      <c r="H128" s="1432">
        <v>3162.78</v>
      </c>
      <c r="I128" s="1430">
        <f t="shared" si="31"/>
        <v>0.70284000000000002</v>
      </c>
      <c r="J128" s="1281">
        <v>0</v>
      </c>
      <c r="K128" s="1281">
        <v>0</v>
      </c>
      <c r="L128" s="1281">
        <v>0</v>
      </c>
    </row>
    <row r="129" spans="1:12" ht="45" x14ac:dyDescent="0.2">
      <c r="A129" s="3"/>
      <c r="B129" s="3"/>
      <c r="C129" s="4" t="s">
        <v>175</v>
      </c>
      <c r="D129" s="5" t="s">
        <v>176</v>
      </c>
      <c r="E129" s="1280">
        <v>643578</v>
      </c>
      <c r="F129" s="1279">
        <f t="shared" si="48"/>
        <v>-155208</v>
      </c>
      <c r="G129" s="1431" t="s">
        <v>204</v>
      </c>
      <c r="H129" s="1432">
        <v>482572</v>
      </c>
      <c r="I129" s="1430">
        <f t="shared" si="31"/>
        <v>0.98812785388127855</v>
      </c>
      <c r="J129" s="1281">
        <v>0</v>
      </c>
      <c r="K129" s="1281">
        <v>0</v>
      </c>
      <c r="L129" s="1281">
        <v>0</v>
      </c>
    </row>
    <row r="130" spans="1:12" ht="45" x14ac:dyDescent="0.2">
      <c r="A130" s="3"/>
      <c r="B130" s="3"/>
      <c r="C130" s="4" t="s">
        <v>205</v>
      </c>
      <c r="D130" s="5" t="s">
        <v>206</v>
      </c>
      <c r="E130" s="1280">
        <v>0</v>
      </c>
      <c r="F130" s="1279">
        <f t="shared" si="48"/>
        <v>14000</v>
      </c>
      <c r="G130" s="1431" t="s">
        <v>207</v>
      </c>
      <c r="H130" s="1432">
        <v>27475.62</v>
      </c>
      <c r="I130" s="1430">
        <f t="shared" si="31"/>
        <v>1.9625442857142856</v>
      </c>
      <c r="J130" s="1281">
        <v>80.16</v>
      </c>
      <c r="K130" s="1281">
        <v>0</v>
      </c>
      <c r="L130" s="1281">
        <v>0</v>
      </c>
    </row>
    <row r="131" spans="1:12" ht="15" x14ac:dyDescent="0.2">
      <c r="A131" s="2"/>
      <c r="B131" s="1600" t="s">
        <v>208</v>
      </c>
      <c r="C131" s="1601"/>
      <c r="D131" s="1602" t="s">
        <v>209</v>
      </c>
      <c r="E131" s="1603">
        <f>E132+E134+E133</f>
        <v>4000</v>
      </c>
      <c r="F131" s="1604">
        <f t="shared" ref="F131:L131" si="49">F132+F134+F133</f>
        <v>43748.62</v>
      </c>
      <c r="G131" s="1605">
        <f t="shared" si="49"/>
        <v>47748.62</v>
      </c>
      <c r="H131" s="1605">
        <f t="shared" si="49"/>
        <v>46923.5</v>
      </c>
      <c r="I131" s="1606">
        <f t="shared" si="31"/>
        <v>0.98271950058451951</v>
      </c>
      <c r="J131" s="1603">
        <f t="shared" si="49"/>
        <v>0</v>
      </c>
      <c r="K131" s="1603">
        <f t="shared" si="49"/>
        <v>0</v>
      </c>
      <c r="L131" s="1603">
        <f t="shared" si="49"/>
        <v>0</v>
      </c>
    </row>
    <row r="132" spans="1:12" ht="67.5" x14ac:dyDescent="0.2">
      <c r="A132" s="3"/>
      <c r="B132" s="3"/>
      <c r="C132" s="4" t="s">
        <v>15</v>
      </c>
      <c r="D132" s="5" t="s">
        <v>16</v>
      </c>
      <c r="E132" s="1280">
        <v>4000</v>
      </c>
      <c r="F132" s="1279">
        <f>G132-E132</f>
        <v>0</v>
      </c>
      <c r="G132" s="1431" t="s">
        <v>210</v>
      </c>
      <c r="H132" s="1432">
        <v>3936.75</v>
      </c>
      <c r="I132" s="1430">
        <f t="shared" si="31"/>
        <v>0.98418749999999999</v>
      </c>
      <c r="J132" s="1281">
        <v>0</v>
      </c>
      <c r="K132" s="1281">
        <v>0</v>
      </c>
      <c r="L132" s="1281">
        <v>0</v>
      </c>
    </row>
    <row r="133" spans="1:12" ht="22.5" x14ac:dyDescent="0.2">
      <c r="A133" s="1282"/>
      <c r="B133" s="1282"/>
      <c r="C133" s="1284" t="s">
        <v>1464</v>
      </c>
      <c r="D133" s="1277" t="s">
        <v>1465</v>
      </c>
      <c r="E133" s="1280">
        <v>0</v>
      </c>
      <c r="F133" s="1279">
        <v>0</v>
      </c>
      <c r="G133" s="1431">
        <v>0</v>
      </c>
      <c r="H133" s="1432">
        <v>1060</v>
      </c>
      <c r="I133" s="1430">
        <v>0</v>
      </c>
      <c r="J133" s="1281">
        <v>0</v>
      </c>
      <c r="K133" s="1281">
        <v>0</v>
      </c>
      <c r="L133" s="1281">
        <v>0</v>
      </c>
    </row>
    <row r="134" spans="1:12" ht="56.25" x14ac:dyDescent="0.2">
      <c r="A134" s="3"/>
      <c r="B134" s="3"/>
      <c r="C134" s="4" t="s">
        <v>18</v>
      </c>
      <c r="D134" s="5" t="s">
        <v>19</v>
      </c>
      <c r="E134" s="1280">
        <v>0</v>
      </c>
      <c r="F134" s="1279">
        <f>G134-E134</f>
        <v>43748.62</v>
      </c>
      <c r="G134" s="1431" t="s">
        <v>211</v>
      </c>
      <c r="H134" s="1432">
        <v>41926.75</v>
      </c>
      <c r="I134" s="1430">
        <f t="shared" si="31"/>
        <v>0.95835594357033427</v>
      </c>
      <c r="J134" s="1281">
        <v>0</v>
      </c>
      <c r="K134" s="1281">
        <v>0</v>
      </c>
      <c r="L134" s="1281">
        <v>0</v>
      </c>
    </row>
    <row r="135" spans="1:12" ht="15" x14ac:dyDescent="0.2">
      <c r="A135" s="2"/>
      <c r="B135" s="1600" t="s">
        <v>212</v>
      </c>
      <c r="C135" s="1601"/>
      <c r="D135" s="1602" t="s">
        <v>213</v>
      </c>
      <c r="E135" s="1603">
        <f>E136+E137</f>
        <v>263000</v>
      </c>
      <c r="F135" s="1604">
        <f t="shared" ref="F135:L135" si="50">F136+F137</f>
        <v>12600</v>
      </c>
      <c r="G135" s="1605">
        <f t="shared" si="50"/>
        <v>275600</v>
      </c>
      <c r="H135" s="1605">
        <f t="shared" si="50"/>
        <v>263698</v>
      </c>
      <c r="I135" s="1606">
        <f t="shared" si="31"/>
        <v>0.95681422351233669</v>
      </c>
      <c r="J135" s="1603">
        <f t="shared" si="50"/>
        <v>0</v>
      </c>
      <c r="K135" s="1603">
        <f t="shared" si="50"/>
        <v>0</v>
      </c>
      <c r="L135" s="1603">
        <f t="shared" si="50"/>
        <v>0</v>
      </c>
    </row>
    <row r="136" spans="1:12" x14ac:dyDescent="0.2">
      <c r="A136" s="3"/>
      <c r="B136" s="3"/>
      <c r="C136" s="4" t="s">
        <v>98</v>
      </c>
      <c r="D136" s="5" t="s">
        <v>99</v>
      </c>
      <c r="E136" s="1280">
        <v>257600</v>
      </c>
      <c r="F136" s="1279">
        <f>G136-E136</f>
        <v>0</v>
      </c>
      <c r="G136" s="1431" t="s">
        <v>214</v>
      </c>
      <c r="H136" s="1432">
        <v>245698</v>
      </c>
      <c r="I136" s="1430">
        <f t="shared" si="31"/>
        <v>0.95379658385093169</v>
      </c>
      <c r="J136" s="1281">
        <v>0</v>
      </c>
      <c r="K136" s="1281">
        <v>0</v>
      </c>
      <c r="L136" s="1281">
        <v>0</v>
      </c>
    </row>
    <row r="137" spans="1:12" ht="56.25" x14ac:dyDescent="0.2">
      <c r="A137" s="3"/>
      <c r="B137" s="3"/>
      <c r="C137" s="4" t="s">
        <v>86</v>
      </c>
      <c r="D137" s="5" t="s">
        <v>87</v>
      </c>
      <c r="E137" s="1280">
        <v>5400</v>
      </c>
      <c r="F137" s="1279">
        <f>G137-E137</f>
        <v>12600</v>
      </c>
      <c r="G137" s="1431" t="s">
        <v>215</v>
      </c>
      <c r="H137" s="1432">
        <v>18000</v>
      </c>
      <c r="I137" s="1430">
        <f t="shared" si="31"/>
        <v>1</v>
      </c>
      <c r="J137" s="1281">
        <v>0</v>
      </c>
      <c r="K137" s="1281">
        <v>0</v>
      </c>
      <c r="L137" s="1281">
        <v>0</v>
      </c>
    </row>
    <row r="138" spans="1:12" ht="78.75" x14ac:dyDescent="0.2">
      <c r="A138" s="2"/>
      <c r="B138" s="1600" t="s">
        <v>216</v>
      </c>
      <c r="C138" s="1601"/>
      <c r="D138" s="1602" t="s">
        <v>217</v>
      </c>
      <c r="E138" s="1603">
        <f>E139</f>
        <v>0</v>
      </c>
      <c r="F138" s="1604">
        <f t="shared" ref="F138:L138" si="51">F139</f>
        <v>4144.78</v>
      </c>
      <c r="G138" s="1605" t="str">
        <f t="shared" si="51"/>
        <v>4 144,78</v>
      </c>
      <c r="H138" s="1605">
        <f t="shared" si="51"/>
        <v>3469.42</v>
      </c>
      <c r="I138" s="1606">
        <f t="shared" ref="I138:I203" si="52">H138/G138</f>
        <v>0.83705769666906338</v>
      </c>
      <c r="J138" s="1603">
        <f t="shared" si="51"/>
        <v>0</v>
      </c>
      <c r="K138" s="1603">
        <f t="shared" si="51"/>
        <v>0</v>
      </c>
      <c r="L138" s="1603">
        <f t="shared" si="51"/>
        <v>0</v>
      </c>
    </row>
    <row r="139" spans="1:12" ht="56.25" x14ac:dyDescent="0.2">
      <c r="A139" s="3"/>
      <c r="B139" s="3"/>
      <c r="C139" s="4" t="s">
        <v>18</v>
      </c>
      <c r="D139" s="5" t="s">
        <v>19</v>
      </c>
      <c r="E139" s="1280">
        <v>0</v>
      </c>
      <c r="F139" s="1279">
        <f>G139-E139</f>
        <v>4144.78</v>
      </c>
      <c r="G139" s="1431" t="s">
        <v>218</v>
      </c>
      <c r="H139" s="1432">
        <v>3469.42</v>
      </c>
      <c r="I139" s="1430">
        <f t="shared" si="52"/>
        <v>0.83705769666906338</v>
      </c>
      <c r="J139" s="1281">
        <v>0</v>
      </c>
      <c r="K139" s="1281">
        <v>0</v>
      </c>
      <c r="L139" s="1281">
        <v>0</v>
      </c>
    </row>
    <row r="140" spans="1:12" ht="15" x14ac:dyDescent="0.2">
      <c r="A140" s="2"/>
      <c r="B140" s="1600" t="s">
        <v>219</v>
      </c>
      <c r="C140" s="1601"/>
      <c r="D140" s="1602" t="s">
        <v>14</v>
      </c>
      <c r="E140" s="1603">
        <f>E141+E142+E143+E144+E145+E146+E147</f>
        <v>0</v>
      </c>
      <c r="F140" s="1604">
        <f t="shared" ref="F140:L140" si="53">F141+F142+F143+F144+F145+F146+F147</f>
        <v>824043.3600000001</v>
      </c>
      <c r="G140" s="1605">
        <f t="shared" si="53"/>
        <v>824043.3600000001</v>
      </c>
      <c r="H140" s="1605">
        <f t="shared" si="53"/>
        <v>730263.44000000006</v>
      </c>
      <c r="I140" s="1606">
        <f t="shared" si="52"/>
        <v>0.88619540602814872</v>
      </c>
      <c r="J140" s="1603">
        <f t="shared" si="53"/>
        <v>0</v>
      </c>
      <c r="K140" s="1603">
        <f t="shared" si="53"/>
        <v>0</v>
      </c>
      <c r="L140" s="1603">
        <f t="shared" si="53"/>
        <v>0</v>
      </c>
    </row>
    <row r="141" spans="1:12" x14ac:dyDescent="0.2">
      <c r="A141" s="3"/>
      <c r="B141" s="3"/>
      <c r="C141" s="4" t="s">
        <v>220</v>
      </c>
      <c r="D141" s="5" t="s">
        <v>99</v>
      </c>
      <c r="E141" s="1280">
        <v>0</v>
      </c>
      <c r="F141" s="1279">
        <f>G141-E141</f>
        <v>0</v>
      </c>
      <c r="G141" s="1431" t="s">
        <v>7</v>
      </c>
      <c r="H141" s="1432">
        <v>0</v>
      </c>
      <c r="I141" s="1430">
        <v>0</v>
      </c>
      <c r="J141" s="1281">
        <v>0</v>
      </c>
      <c r="K141" s="1281">
        <v>0</v>
      </c>
      <c r="L141" s="1281">
        <v>0</v>
      </c>
    </row>
    <row r="142" spans="1:12" ht="90" x14ac:dyDescent="0.2">
      <c r="A142" s="3"/>
      <c r="B142" s="3"/>
      <c r="C142" s="4" t="s">
        <v>221</v>
      </c>
      <c r="D142" s="5" t="s">
        <v>222</v>
      </c>
      <c r="E142" s="1280">
        <v>0</v>
      </c>
      <c r="F142" s="1279">
        <f t="shared" ref="F142:F147" si="54">G142-E142</f>
        <v>170161.2</v>
      </c>
      <c r="G142" s="1431" t="s">
        <v>223</v>
      </c>
      <c r="H142" s="1432">
        <v>102000</v>
      </c>
      <c r="I142" s="1430">
        <f t="shared" si="52"/>
        <v>0.59943159780255428</v>
      </c>
      <c r="J142" s="1281">
        <v>0</v>
      </c>
      <c r="K142" s="1281">
        <v>0</v>
      </c>
      <c r="L142" s="1281">
        <v>0</v>
      </c>
    </row>
    <row r="143" spans="1:12" ht="90" x14ac:dyDescent="0.2">
      <c r="A143" s="3"/>
      <c r="B143" s="3"/>
      <c r="C143" s="4" t="s">
        <v>224</v>
      </c>
      <c r="D143" s="5" t="s">
        <v>222</v>
      </c>
      <c r="E143" s="1280">
        <v>0</v>
      </c>
      <c r="F143" s="1279">
        <f t="shared" si="54"/>
        <v>19838.8</v>
      </c>
      <c r="G143" s="1431" t="s">
        <v>225</v>
      </c>
      <c r="H143" s="1432">
        <v>0</v>
      </c>
      <c r="I143" s="1430">
        <f t="shared" si="52"/>
        <v>0</v>
      </c>
      <c r="J143" s="1281">
        <v>0</v>
      </c>
      <c r="K143" s="1281">
        <v>0</v>
      </c>
      <c r="L143" s="1281">
        <v>0</v>
      </c>
    </row>
    <row r="144" spans="1:12" ht="78.75" x14ac:dyDescent="0.2">
      <c r="A144" s="3"/>
      <c r="B144" s="3"/>
      <c r="C144" s="4" t="s">
        <v>226</v>
      </c>
      <c r="D144" s="5" t="s">
        <v>58</v>
      </c>
      <c r="E144" s="1280">
        <v>0</v>
      </c>
      <c r="F144" s="1279">
        <f t="shared" si="54"/>
        <v>557636.81000000006</v>
      </c>
      <c r="G144" s="1431" t="s">
        <v>227</v>
      </c>
      <c r="H144" s="1432">
        <v>610354.92000000004</v>
      </c>
      <c r="I144" s="1430">
        <f t="shared" si="52"/>
        <v>1.0945384326404133</v>
      </c>
      <c r="J144" s="1281">
        <v>0</v>
      </c>
      <c r="K144" s="1281">
        <v>0</v>
      </c>
      <c r="L144" s="1281">
        <v>0</v>
      </c>
    </row>
    <row r="145" spans="1:12" ht="78.75" x14ac:dyDescent="0.2">
      <c r="A145" s="3"/>
      <c r="B145" s="3"/>
      <c r="C145" s="4" t="s">
        <v>60</v>
      </c>
      <c r="D145" s="5" t="s">
        <v>58</v>
      </c>
      <c r="E145" s="1280">
        <v>0</v>
      </c>
      <c r="F145" s="1279">
        <f t="shared" si="54"/>
        <v>65006.55</v>
      </c>
      <c r="G145" s="1431" t="s">
        <v>228</v>
      </c>
      <c r="H145" s="1432">
        <v>7698.76</v>
      </c>
      <c r="I145" s="1430">
        <f t="shared" si="52"/>
        <v>0.11843052738531733</v>
      </c>
      <c r="J145" s="1281">
        <v>0</v>
      </c>
      <c r="K145" s="1281">
        <v>0</v>
      </c>
      <c r="L145" s="1281">
        <v>0</v>
      </c>
    </row>
    <row r="146" spans="1:12" ht="78.75" x14ac:dyDescent="0.2">
      <c r="A146" s="3"/>
      <c r="B146" s="3"/>
      <c r="C146" s="4" t="s">
        <v>229</v>
      </c>
      <c r="D146" s="5" t="s">
        <v>230</v>
      </c>
      <c r="E146" s="1280">
        <v>0</v>
      </c>
      <c r="F146" s="1279">
        <f t="shared" si="54"/>
        <v>10209.76</v>
      </c>
      <c r="G146" s="1431" t="s">
        <v>231</v>
      </c>
      <c r="H146" s="1432">
        <v>10209.76</v>
      </c>
      <c r="I146" s="1430">
        <f t="shared" si="52"/>
        <v>1</v>
      </c>
      <c r="J146" s="1281">
        <v>0</v>
      </c>
      <c r="K146" s="1281">
        <v>0</v>
      </c>
      <c r="L146" s="1281">
        <v>0</v>
      </c>
    </row>
    <row r="147" spans="1:12" ht="78.75" x14ac:dyDescent="0.2">
      <c r="A147" s="3"/>
      <c r="B147" s="3"/>
      <c r="C147" s="4" t="s">
        <v>232</v>
      </c>
      <c r="D147" s="5" t="s">
        <v>230</v>
      </c>
      <c r="E147" s="1280">
        <v>0</v>
      </c>
      <c r="F147" s="1279">
        <f t="shared" si="54"/>
        <v>1190.24</v>
      </c>
      <c r="G147" s="1431" t="s">
        <v>233</v>
      </c>
      <c r="H147" s="1432">
        <v>0</v>
      </c>
      <c r="I147" s="1430">
        <f t="shared" si="52"/>
        <v>0</v>
      </c>
      <c r="J147" s="1281">
        <v>0</v>
      </c>
      <c r="K147" s="1281">
        <v>0</v>
      </c>
      <c r="L147" s="1281">
        <v>0</v>
      </c>
    </row>
    <row r="148" spans="1:12" x14ac:dyDescent="0.2">
      <c r="A148" s="1588" t="s">
        <v>714</v>
      </c>
      <c r="B148" s="1588"/>
      <c r="C148" s="1588"/>
      <c r="D148" s="1641" t="s">
        <v>715</v>
      </c>
      <c r="E148" s="1734">
        <f t="shared" ref="E148:H149" si="55">E149</f>
        <v>0</v>
      </c>
      <c r="F148" s="1734">
        <f t="shared" si="55"/>
        <v>0</v>
      </c>
      <c r="G148" s="1735">
        <f t="shared" si="55"/>
        <v>0</v>
      </c>
      <c r="H148" s="1737">
        <f t="shared" si="55"/>
        <v>0</v>
      </c>
      <c r="I148" s="1736">
        <v>0</v>
      </c>
      <c r="J148" s="1734">
        <f t="shared" ref="J148:L149" si="56">J149</f>
        <v>43.65</v>
      </c>
      <c r="K148" s="1734">
        <f t="shared" si="56"/>
        <v>0</v>
      </c>
      <c r="L148" s="1734">
        <f t="shared" si="56"/>
        <v>0</v>
      </c>
    </row>
    <row r="149" spans="1:12" x14ac:dyDescent="0.2">
      <c r="A149" s="1290"/>
      <c r="B149" s="1624" t="s">
        <v>723</v>
      </c>
      <c r="C149" s="1731"/>
      <c r="D149" s="1634" t="s">
        <v>724</v>
      </c>
      <c r="E149" s="1603">
        <f t="shared" si="55"/>
        <v>0</v>
      </c>
      <c r="F149" s="1604">
        <f t="shared" si="55"/>
        <v>0</v>
      </c>
      <c r="G149" s="1605">
        <f t="shared" si="55"/>
        <v>0</v>
      </c>
      <c r="H149" s="1732">
        <f t="shared" si="55"/>
        <v>0</v>
      </c>
      <c r="I149" s="1606">
        <v>0</v>
      </c>
      <c r="J149" s="1733">
        <f t="shared" si="56"/>
        <v>43.65</v>
      </c>
      <c r="K149" s="1733">
        <f t="shared" si="56"/>
        <v>0</v>
      </c>
      <c r="L149" s="1733">
        <f t="shared" si="56"/>
        <v>0</v>
      </c>
    </row>
    <row r="150" spans="1:12" ht="67.5" x14ac:dyDescent="0.2">
      <c r="A150" s="1282"/>
      <c r="B150" s="1282"/>
      <c r="C150" s="1283" t="s">
        <v>240</v>
      </c>
      <c r="D150" s="5" t="s">
        <v>241</v>
      </c>
      <c r="E150" s="1280">
        <v>0</v>
      </c>
      <c r="F150" s="1279">
        <v>0</v>
      </c>
      <c r="G150" s="1431">
        <v>0</v>
      </c>
      <c r="H150" s="1720">
        <v>0</v>
      </c>
      <c r="I150" s="1430">
        <v>0</v>
      </c>
      <c r="J150" s="1281">
        <v>43.65</v>
      </c>
      <c r="K150" s="1281">
        <v>0</v>
      </c>
      <c r="L150" s="1281">
        <v>0</v>
      </c>
    </row>
    <row r="151" spans="1:12" x14ac:dyDescent="0.2">
      <c r="A151" s="1588" t="s">
        <v>234</v>
      </c>
      <c r="B151" s="1588"/>
      <c r="C151" s="1588"/>
      <c r="D151" s="1589" t="s">
        <v>235</v>
      </c>
      <c r="E151" s="1590">
        <f>E152+E157+E160+E162+E166+E168+E172+E174</f>
        <v>691666</v>
      </c>
      <c r="F151" s="1591">
        <f t="shared" ref="F151:L151" si="57">F152+F157+F160+F162+F166+F168+F172+F174</f>
        <v>818163</v>
      </c>
      <c r="G151" s="1592">
        <f t="shared" si="57"/>
        <v>1509829</v>
      </c>
      <c r="H151" s="1592">
        <f t="shared" si="57"/>
        <v>1502300.64</v>
      </c>
      <c r="I151" s="1593">
        <f t="shared" si="52"/>
        <v>0.99501376645964534</v>
      </c>
      <c r="J151" s="1730">
        <f t="shared" si="57"/>
        <v>3127.98</v>
      </c>
      <c r="K151" s="1730">
        <f t="shared" si="57"/>
        <v>120</v>
      </c>
      <c r="L151" s="1730">
        <f t="shared" si="57"/>
        <v>0</v>
      </c>
    </row>
    <row r="152" spans="1:12" ht="67.5" x14ac:dyDescent="0.2">
      <c r="A152" s="2"/>
      <c r="B152" s="1600" t="s">
        <v>236</v>
      </c>
      <c r="C152" s="1601"/>
      <c r="D152" s="1602" t="s">
        <v>237</v>
      </c>
      <c r="E152" s="1603">
        <f>E153+E154+E155+E156</f>
        <v>83551</v>
      </c>
      <c r="F152" s="1604">
        <f t="shared" ref="F152:L152" si="58">F153+F154+F155+F156</f>
        <v>25300</v>
      </c>
      <c r="G152" s="1605">
        <f t="shared" si="58"/>
        <v>108851</v>
      </c>
      <c r="H152" s="1605">
        <f t="shared" si="58"/>
        <v>104553</v>
      </c>
      <c r="I152" s="1606">
        <f t="shared" si="52"/>
        <v>0.96051483220181721</v>
      </c>
      <c r="J152" s="1603">
        <f t="shared" si="58"/>
        <v>0</v>
      </c>
      <c r="K152" s="1603">
        <f t="shared" si="58"/>
        <v>0</v>
      </c>
      <c r="L152" s="1603">
        <f t="shared" si="58"/>
        <v>0</v>
      </c>
    </row>
    <row r="153" spans="1:12" ht="56.25" x14ac:dyDescent="0.2">
      <c r="A153" s="3"/>
      <c r="B153" s="3"/>
      <c r="C153" s="4" t="s">
        <v>18</v>
      </c>
      <c r="D153" s="5" t="s">
        <v>19</v>
      </c>
      <c r="E153" s="1280">
        <v>47883</v>
      </c>
      <c r="F153" s="1279">
        <f>G153-E153</f>
        <v>10800</v>
      </c>
      <c r="G153" s="1431" t="s">
        <v>238</v>
      </c>
      <c r="H153" s="1432">
        <v>56885.3</v>
      </c>
      <c r="I153" s="1430">
        <f t="shared" si="52"/>
        <v>0.96936591517134441</v>
      </c>
      <c r="J153" s="1281">
        <v>0</v>
      </c>
      <c r="K153" s="1281">
        <v>0</v>
      </c>
      <c r="L153" s="1281">
        <v>0</v>
      </c>
    </row>
    <row r="154" spans="1:12" ht="45" x14ac:dyDescent="0.2">
      <c r="A154" s="3"/>
      <c r="B154" s="3"/>
      <c r="C154" s="4" t="s">
        <v>175</v>
      </c>
      <c r="D154" s="5" t="s">
        <v>176</v>
      </c>
      <c r="E154" s="1280">
        <v>35418</v>
      </c>
      <c r="F154" s="1279">
        <f t="shared" ref="F154:F156" si="59">G154-E154</f>
        <v>14500</v>
      </c>
      <c r="G154" s="1431" t="s">
        <v>239</v>
      </c>
      <c r="H154" s="1432">
        <v>47667.7</v>
      </c>
      <c r="I154" s="1430">
        <f t="shared" si="52"/>
        <v>0.95492006891301728</v>
      </c>
      <c r="J154" s="1281">
        <v>0</v>
      </c>
      <c r="K154" s="1281">
        <v>0</v>
      </c>
      <c r="L154" s="1281">
        <v>0</v>
      </c>
    </row>
    <row r="155" spans="1:12" ht="67.5" x14ac:dyDescent="0.2">
      <c r="A155" s="3"/>
      <c r="B155" s="3"/>
      <c r="C155" s="4" t="s">
        <v>240</v>
      </c>
      <c r="D155" s="5" t="s">
        <v>241</v>
      </c>
      <c r="E155" s="1280">
        <v>250</v>
      </c>
      <c r="F155" s="1279">
        <f t="shared" si="59"/>
        <v>0</v>
      </c>
      <c r="G155" s="1431" t="s">
        <v>242</v>
      </c>
      <c r="H155" s="1432">
        <v>0</v>
      </c>
      <c r="I155" s="1430">
        <f t="shared" si="52"/>
        <v>0</v>
      </c>
      <c r="J155" s="1281">
        <v>0</v>
      </c>
      <c r="K155" s="1281">
        <v>0</v>
      </c>
      <c r="L155" s="1281">
        <v>0</v>
      </c>
    </row>
    <row r="156" spans="1:12" ht="22.5" x14ac:dyDescent="0.2">
      <c r="A156" s="3"/>
      <c r="B156" s="3"/>
      <c r="C156" s="4" t="s">
        <v>243</v>
      </c>
      <c r="D156" s="5" t="s">
        <v>244</v>
      </c>
      <c r="E156" s="1280">
        <v>0</v>
      </c>
      <c r="F156" s="1279">
        <f t="shared" si="59"/>
        <v>0</v>
      </c>
      <c r="G156" s="1431" t="s">
        <v>7</v>
      </c>
      <c r="H156" s="1432">
        <v>0</v>
      </c>
      <c r="I156" s="1430">
        <v>0</v>
      </c>
      <c r="J156" s="1281">
        <v>0</v>
      </c>
      <c r="K156" s="1281">
        <v>0</v>
      </c>
      <c r="L156" s="1281">
        <v>0</v>
      </c>
    </row>
    <row r="157" spans="1:12" ht="33.75" x14ac:dyDescent="0.2">
      <c r="A157" s="2"/>
      <c r="B157" s="1600" t="s">
        <v>245</v>
      </c>
      <c r="C157" s="1601"/>
      <c r="D157" s="1602" t="s">
        <v>246</v>
      </c>
      <c r="E157" s="1603">
        <f>E158+E159</f>
        <v>49657</v>
      </c>
      <c r="F157" s="1604">
        <f t="shared" ref="F157:L157" si="60">F158+F159</f>
        <v>60343</v>
      </c>
      <c r="G157" s="1605">
        <f t="shared" si="60"/>
        <v>110000</v>
      </c>
      <c r="H157" s="1605">
        <f t="shared" si="60"/>
        <v>110000</v>
      </c>
      <c r="I157" s="1606">
        <f t="shared" si="52"/>
        <v>1</v>
      </c>
      <c r="J157" s="1603">
        <f t="shared" si="60"/>
        <v>0</v>
      </c>
      <c r="K157" s="1603">
        <f t="shared" si="60"/>
        <v>0</v>
      </c>
      <c r="L157" s="1603">
        <f t="shared" si="60"/>
        <v>0</v>
      </c>
    </row>
    <row r="158" spans="1:12" ht="22.5" x14ac:dyDescent="0.2">
      <c r="A158" s="3"/>
      <c r="B158" s="3"/>
      <c r="C158" s="4" t="s">
        <v>247</v>
      </c>
      <c r="D158" s="5" t="s">
        <v>248</v>
      </c>
      <c r="E158" s="1280">
        <v>0</v>
      </c>
      <c r="F158" s="1279">
        <f>G158-E158</f>
        <v>30000</v>
      </c>
      <c r="G158" s="1431" t="s">
        <v>138</v>
      </c>
      <c r="H158" s="1432">
        <v>30000</v>
      </c>
      <c r="I158" s="1430">
        <f t="shared" si="52"/>
        <v>1</v>
      </c>
      <c r="J158" s="1281">
        <v>0</v>
      </c>
      <c r="K158" s="1281">
        <v>0</v>
      </c>
      <c r="L158" s="1281">
        <v>0</v>
      </c>
    </row>
    <row r="159" spans="1:12" ht="45" x14ac:dyDescent="0.2">
      <c r="A159" s="3"/>
      <c r="B159" s="3"/>
      <c r="C159" s="4" t="s">
        <v>175</v>
      </c>
      <c r="D159" s="5" t="s">
        <v>176</v>
      </c>
      <c r="E159" s="1280">
        <v>49657</v>
      </c>
      <c r="F159" s="1279">
        <f>G159-E159</f>
        <v>30343</v>
      </c>
      <c r="G159" s="1431" t="s">
        <v>173</v>
      </c>
      <c r="H159" s="1432">
        <v>80000</v>
      </c>
      <c r="I159" s="1430">
        <f t="shared" si="52"/>
        <v>1</v>
      </c>
      <c r="J159" s="1281">
        <v>0</v>
      </c>
      <c r="K159" s="1281">
        <v>0</v>
      </c>
      <c r="L159" s="1281">
        <v>0</v>
      </c>
    </row>
    <row r="160" spans="1:12" ht="15" x14ac:dyDescent="0.2">
      <c r="A160" s="2"/>
      <c r="B160" s="1600" t="s">
        <v>249</v>
      </c>
      <c r="C160" s="1601"/>
      <c r="D160" s="1602" t="s">
        <v>250</v>
      </c>
      <c r="E160" s="1603">
        <f>E161</f>
        <v>0</v>
      </c>
      <c r="F160" s="1604">
        <f t="shared" ref="F160:L160" si="61">F161</f>
        <v>17500</v>
      </c>
      <c r="G160" s="1605" t="str">
        <f t="shared" si="61"/>
        <v>17 500,00</v>
      </c>
      <c r="H160" s="1605">
        <f t="shared" si="61"/>
        <v>13547.87</v>
      </c>
      <c r="I160" s="1606">
        <f t="shared" si="52"/>
        <v>0.77416400000000007</v>
      </c>
      <c r="J160" s="1603">
        <f t="shared" si="61"/>
        <v>0</v>
      </c>
      <c r="K160" s="1603">
        <f t="shared" si="61"/>
        <v>0</v>
      </c>
      <c r="L160" s="1603">
        <f t="shared" si="61"/>
        <v>0</v>
      </c>
    </row>
    <row r="161" spans="1:12" ht="56.25" x14ac:dyDescent="0.2">
      <c r="A161" s="3"/>
      <c r="B161" s="3"/>
      <c r="C161" s="4" t="s">
        <v>18</v>
      </c>
      <c r="D161" s="5" t="s">
        <v>19</v>
      </c>
      <c r="E161" s="1280">
        <v>0</v>
      </c>
      <c r="F161" s="1279">
        <f>G161-E161</f>
        <v>17500</v>
      </c>
      <c r="G161" s="1431" t="s">
        <v>251</v>
      </c>
      <c r="H161" s="1432">
        <v>13547.87</v>
      </c>
      <c r="I161" s="1430">
        <f t="shared" si="52"/>
        <v>0.77416400000000007</v>
      </c>
      <c r="J161" s="1281">
        <v>0</v>
      </c>
      <c r="K161" s="1281">
        <v>0</v>
      </c>
      <c r="L161" s="1281">
        <v>0</v>
      </c>
    </row>
    <row r="162" spans="1:12" ht="15" x14ac:dyDescent="0.2">
      <c r="A162" s="2"/>
      <c r="B162" s="1600" t="s">
        <v>252</v>
      </c>
      <c r="C162" s="1601"/>
      <c r="D162" s="1602" t="s">
        <v>253</v>
      </c>
      <c r="E162" s="1603">
        <f>E163+E164+E165</f>
        <v>171304</v>
      </c>
      <c r="F162" s="1604">
        <f t="shared" ref="F162:L162" si="62">F163+F164+F165</f>
        <v>239196</v>
      </c>
      <c r="G162" s="1605">
        <f t="shared" si="62"/>
        <v>410500</v>
      </c>
      <c r="H162" s="1605">
        <f t="shared" si="62"/>
        <v>403854</v>
      </c>
      <c r="I162" s="1606">
        <f t="shared" si="52"/>
        <v>0.98380998781973206</v>
      </c>
      <c r="J162" s="1603">
        <f t="shared" si="62"/>
        <v>0</v>
      </c>
      <c r="K162" s="1603">
        <f t="shared" si="62"/>
        <v>0</v>
      </c>
      <c r="L162" s="1603">
        <f t="shared" si="62"/>
        <v>0</v>
      </c>
    </row>
    <row r="163" spans="1:12" ht="45" x14ac:dyDescent="0.2">
      <c r="A163" s="3"/>
      <c r="B163" s="3"/>
      <c r="C163" s="4" t="s">
        <v>175</v>
      </c>
      <c r="D163" s="5" t="s">
        <v>176</v>
      </c>
      <c r="E163" s="1280">
        <v>170804</v>
      </c>
      <c r="F163" s="1279">
        <f>G163-E163</f>
        <v>239196</v>
      </c>
      <c r="G163" s="1431" t="s">
        <v>254</v>
      </c>
      <c r="H163" s="1432">
        <v>403804</v>
      </c>
      <c r="I163" s="1430">
        <f t="shared" si="52"/>
        <v>0.98488780487804883</v>
      </c>
      <c r="J163" s="1281">
        <v>0</v>
      </c>
      <c r="K163" s="1281">
        <v>0</v>
      </c>
      <c r="L163" s="1281">
        <v>0</v>
      </c>
    </row>
    <row r="164" spans="1:12" ht="67.5" x14ac:dyDescent="0.2">
      <c r="A164" s="3"/>
      <c r="B164" s="3"/>
      <c r="C164" s="4" t="s">
        <v>240</v>
      </c>
      <c r="D164" s="5" t="s">
        <v>241</v>
      </c>
      <c r="E164" s="1280">
        <v>500</v>
      </c>
      <c r="F164" s="1279">
        <f t="shared" ref="F164:F165" si="63">G164-E164</f>
        <v>0</v>
      </c>
      <c r="G164" s="1431" t="s">
        <v>255</v>
      </c>
      <c r="H164" s="1432">
        <v>50</v>
      </c>
      <c r="I164" s="1430">
        <f t="shared" si="52"/>
        <v>0.1</v>
      </c>
      <c r="J164" s="1281">
        <v>0</v>
      </c>
      <c r="K164" s="1281">
        <v>0</v>
      </c>
      <c r="L164" s="1281">
        <v>0</v>
      </c>
    </row>
    <row r="165" spans="1:12" ht="22.5" x14ac:dyDescent="0.2">
      <c r="A165" s="3"/>
      <c r="B165" s="3"/>
      <c r="C165" s="4" t="s">
        <v>243</v>
      </c>
      <c r="D165" s="5" t="s">
        <v>244</v>
      </c>
      <c r="E165" s="1280">
        <v>0</v>
      </c>
      <c r="F165" s="1279">
        <f t="shared" si="63"/>
        <v>0</v>
      </c>
      <c r="G165" s="1431" t="s">
        <v>7</v>
      </c>
      <c r="H165" s="1432">
        <v>0</v>
      </c>
      <c r="I165" s="1430">
        <v>0</v>
      </c>
      <c r="J165" s="1281">
        <v>0</v>
      </c>
      <c r="K165" s="1281">
        <v>0</v>
      </c>
      <c r="L165" s="1281">
        <v>0</v>
      </c>
    </row>
    <row r="166" spans="1:12" ht="15" x14ac:dyDescent="0.2">
      <c r="A166" s="2"/>
      <c r="B166" s="1600" t="s">
        <v>256</v>
      </c>
      <c r="C166" s="1601"/>
      <c r="D166" s="1602" t="s">
        <v>257</v>
      </c>
      <c r="E166" s="1603">
        <f>E167</f>
        <v>153979</v>
      </c>
      <c r="F166" s="1604">
        <f t="shared" ref="F166:L166" si="64">F167</f>
        <v>26500</v>
      </c>
      <c r="G166" s="1605" t="str">
        <f t="shared" si="64"/>
        <v>180 479,00</v>
      </c>
      <c r="H166" s="1605">
        <f t="shared" si="64"/>
        <v>179295.34</v>
      </c>
      <c r="I166" s="1606">
        <f t="shared" si="52"/>
        <v>0.99344156383845206</v>
      </c>
      <c r="J166" s="1603">
        <f t="shared" si="64"/>
        <v>0</v>
      </c>
      <c r="K166" s="1603">
        <f t="shared" si="64"/>
        <v>0</v>
      </c>
      <c r="L166" s="1603">
        <f t="shared" si="64"/>
        <v>0</v>
      </c>
    </row>
    <row r="167" spans="1:12" ht="45" x14ac:dyDescent="0.2">
      <c r="A167" s="3"/>
      <c r="B167" s="3"/>
      <c r="C167" s="4" t="s">
        <v>175</v>
      </c>
      <c r="D167" s="5" t="s">
        <v>176</v>
      </c>
      <c r="E167" s="1280">
        <v>153979</v>
      </c>
      <c r="F167" s="1279">
        <f>G167-E167</f>
        <v>26500</v>
      </c>
      <c r="G167" s="1431" t="s">
        <v>258</v>
      </c>
      <c r="H167" s="1432">
        <v>179295.34</v>
      </c>
      <c r="I167" s="1430">
        <f t="shared" si="52"/>
        <v>0.99344156383845206</v>
      </c>
      <c r="J167" s="1281">
        <v>0</v>
      </c>
      <c r="K167" s="1281">
        <v>0</v>
      </c>
      <c r="L167" s="1281">
        <v>0</v>
      </c>
    </row>
    <row r="168" spans="1:12" ht="22.5" x14ac:dyDescent="0.2">
      <c r="A168" s="2"/>
      <c r="B168" s="1600" t="s">
        <v>259</v>
      </c>
      <c r="C168" s="1601"/>
      <c r="D168" s="1602" t="s">
        <v>260</v>
      </c>
      <c r="E168" s="1603">
        <f>E169+E170+E171</f>
        <v>233175</v>
      </c>
      <c r="F168" s="1604">
        <f t="shared" ref="F168:L168" si="65">F169+F170+F171</f>
        <v>224324</v>
      </c>
      <c r="G168" s="1605">
        <f t="shared" si="65"/>
        <v>457499</v>
      </c>
      <c r="H168" s="1605">
        <f t="shared" si="65"/>
        <v>466050.43</v>
      </c>
      <c r="I168" s="1606">
        <f t="shared" si="52"/>
        <v>1.0186916911293795</v>
      </c>
      <c r="J168" s="1603">
        <f t="shared" si="65"/>
        <v>3127.98</v>
      </c>
      <c r="K168" s="1603">
        <f t="shared" si="65"/>
        <v>120</v>
      </c>
      <c r="L168" s="1603">
        <f t="shared" si="65"/>
        <v>0</v>
      </c>
    </row>
    <row r="169" spans="1:12" x14ac:dyDescent="0.2">
      <c r="A169" s="3"/>
      <c r="B169" s="3"/>
      <c r="C169" s="4" t="s">
        <v>98</v>
      </c>
      <c r="D169" s="5" t="s">
        <v>99</v>
      </c>
      <c r="E169" s="1280">
        <v>35000</v>
      </c>
      <c r="F169" s="1279">
        <f>G169-E169</f>
        <v>0</v>
      </c>
      <c r="G169" s="1431" t="s">
        <v>261</v>
      </c>
      <c r="H169" s="1432">
        <v>45047.82</v>
      </c>
      <c r="I169" s="1430">
        <f t="shared" si="52"/>
        <v>1.2870805714285714</v>
      </c>
      <c r="J169" s="1281">
        <v>2920.5</v>
      </c>
      <c r="K169" s="1281">
        <v>120</v>
      </c>
      <c r="L169" s="1281">
        <v>0</v>
      </c>
    </row>
    <row r="170" spans="1:12" ht="56.25" x14ac:dyDescent="0.2">
      <c r="A170" s="3"/>
      <c r="B170" s="3"/>
      <c r="C170" s="4" t="s">
        <v>18</v>
      </c>
      <c r="D170" s="5" t="s">
        <v>19</v>
      </c>
      <c r="E170" s="1280">
        <v>198050</v>
      </c>
      <c r="F170" s="1279">
        <f t="shared" ref="F170:F171" si="66">G170-E170</f>
        <v>224324</v>
      </c>
      <c r="G170" s="1431" t="s">
        <v>262</v>
      </c>
      <c r="H170" s="1432">
        <v>419030</v>
      </c>
      <c r="I170" s="1430">
        <f t="shared" si="52"/>
        <v>0.99208284600851382</v>
      </c>
      <c r="J170" s="1281">
        <v>0</v>
      </c>
      <c r="K170" s="1281">
        <v>0</v>
      </c>
      <c r="L170" s="1281">
        <v>0</v>
      </c>
    </row>
    <row r="171" spans="1:12" ht="45" x14ac:dyDescent="0.2">
      <c r="A171" s="3"/>
      <c r="B171" s="3"/>
      <c r="C171" s="4" t="s">
        <v>263</v>
      </c>
      <c r="D171" s="5" t="s">
        <v>264</v>
      </c>
      <c r="E171" s="1280">
        <v>125</v>
      </c>
      <c r="F171" s="1279">
        <f t="shared" si="66"/>
        <v>0</v>
      </c>
      <c r="G171" s="1431" t="s">
        <v>265</v>
      </c>
      <c r="H171" s="1432">
        <v>1972.61</v>
      </c>
      <c r="I171" s="1430">
        <f t="shared" si="52"/>
        <v>15.78088</v>
      </c>
      <c r="J171" s="1281">
        <v>207.48</v>
      </c>
      <c r="K171" s="1281">
        <v>0</v>
      </c>
      <c r="L171" s="1281">
        <v>0</v>
      </c>
    </row>
    <row r="172" spans="1:12" ht="15" x14ac:dyDescent="0.2">
      <c r="A172" s="2"/>
      <c r="B172" s="1600" t="s">
        <v>266</v>
      </c>
      <c r="C172" s="1601"/>
      <c r="D172" s="1602" t="s">
        <v>267</v>
      </c>
      <c r="E172" s="1603">
        <f>E173</f>
        <v>0</v>
      </c>
      <c r="F172" s="1604">
        <f t="shared" ref="F172:L172" si="67">F173</f>
        <v>195000</v>
      </c>
      <c r="G172" s="1605" t="str">
        <f t="shared" si="67"/>
        <v>195 000,00</v>
      </c>
      <c r="H172" s="1605">
        <f t="shared" si="67"/>
        <v>195000</v>
      </c>
      <c r="I172" s="1606">
        <f t="shared" si="52"/>
        <v>1</v>
      </c>
      <c r="J172" s="1603">
        <f t="shared" si="67"/>
        <v>0</v>
      </c>
      <c r="K172" s="1603">
        <f t="shared" si="67"/>
        <v>0</v>
      </c>
      <c r="L172" s="1603">
        <f t="shared" si="67"/>
        <v>0</v>
      </c>
    </row>
    <row r="173" spans="1:12" ht="45" x14ac:dyDescent="0.2">
      <c r="A173" s="3"/>
      <c r="B173" s="3"/>
      <c r="C173" s="4" t="s">
        <v>175</v>
      </c>
      <c r="D173" s="5" t="s">
        <v>176</v>
      </c>
      <c r="E173" s="1280">
        <v>0</v>
      </c>
      <c r="F173" s="1279">
        <f>G173-E173</f>
        <v>195000</v>
      </c>
      <c r="G173" s="1431" t="s">
        <v>268</v>
      </c>
      <c r="H173" s="1432">
        <v>195000</v>
      </c>
      <c r="I173" s="1430">
        <f t="shared" si="52"/>
        <v>1</v>
      </c>
      <c r="J173" s="1281">
        <v>0</v>
      </c>
      <c r="K173" s="1281">
        <v>0</v>
      </c>
      <c r="L173" s="1281">
        <v>0</v>
      </c>
    </row>
    <row r="174" spans="1:12" ht="15" x14ac:dyDescent="0.2">
      <c r="A174" s="2"/>
      <c r="B174" s="1600" t="s">
        <v>269</v>
      </c>
      <c r="C174" s="1601"/>
      <c r="D174" s="1602" t="s">
        <v>270</v>
      </c>
      <c r="E174" s="1603">
        <f>E175</f>
        <v>0</v>
      </c>
      <c r="F174" s="1604">
        <f t="shared" ref="F174:L174" si="68">F175</f>
        <v>30000</v>
      </c>
      <c r="G174" s="1605" t="str">
        <f t="shared" si="68"/>
        <v>30 000,00</v>
      </c>
      <c r="H174" s="1605">
        <f>H175</f>
        <v>30000</v>
      </c>
      <c r="I174" s="1606">
        <f t="shared" si="52"/>
        <v>1</v>
      </c>
      <c r="J174" s="1603">
        <f t="shared" si="68"/>
        <v>0</v>
      </c>
      <c r="K174" s="1603">
        <f t="shared" si="68"/>
        <v>0</v>
      </c>
      <c r="L174" s="1603">
        <f t="shared" si="68"/>
        <v>0</v>
      </c>
    </row>
    <row r="175" spans="1:12" ht="56.25" x14ac:dyDescent="0.2">
      <c r="A175" s="3"/>
      <c r="B175" s="3"/>
      <c r="C175" s="4" t="s">
        <v>18</v>
      </c>
      <c r="D175" s="5" t="s">
        <v>19</v>
      </c>
      <c r="E175" s="1280">
        <v>0</v>
      </c>
      <c r="F175" s="1279">
        <f>G175-E175</f>
        <v>30000</v>
      </c>
      <c r="G175" s="1431" t="s">
        <v>138</v>
      </c>
      <c r="H175" s="1432">
        <v>30000</v>
      </c>
      <c r="I175" s="1430">
        <f t="shared" si="52"/>
        <v>1</v>
      </c>
      <c r="J175" s="1281">
        <v>0</v>
      </c>
      <c r="K175" s="1281">
        <v>0</v>
      </c>
      <c r="L175" s="1281">
        <v>0</v>
      </c>
    </row>
    <row r="176" spans="1:12" ht="22.5" x14ac:dyDescent="0.2">
      <c r="A176" s="1588" t="s">
        <v>271</v>
      </c>
      <c r="B176" s="1588"/>
      <c r="C176" s="1588"/>
      <c r="D176" s="1589" t="s">
        <v>272</v>
      </c>
      <c r="E176" s="1590">
        <f>E177</f>
        <v>0</v>
      </c>
      <c r="F176" s="1591">
        <f t="shared" ref="F176:L176" si="69">F177</f>
        <v>572219.38</v>
      </c>
      <c r="G176" s="1592">
        <f t="shared" si="69"/>
        <v>572219.38</v>
      </c>
      <c r="H176" s="1592">
        <f t="shared" si="69"/>
        <v>427960.72</v>
      </c>
      <c r="I176" s="1593">
        <f t="shared" si="52"/>
        <v>0.74789623518168846</v>
      </c>
      <c r="J176" s="1590">
        <f t="shared" si="69"/>
        <v>0</v>
      </c>
      <c r="K176" s="1590">
        <f t="shared" si="69"/>
        <v>0</v>
      </c>
      <c r="L176" s="1590">
        <f t="shared" si="69"/>
        <v>0</v>
      </c>
    </row>
    <row r="177" spans="1:12" ht="15" x14ac:dyDescent="0.2">
      <c r="A177" s="2"/>
      <c r="B177" s="1600" t="s">
        <v>273</v>
      </c>
      <c r="C177" s="1601"/>
      <c r="D177" s="1602" t="s">
        <v>14</v>
      </c>
      <c r="E177" s="1603">
        <f>E178+E179+E180</f>
        <v>0</v>
      </c>
      <c r="F177" s="1604">
        <f t="shared" ref="F177:L177" si="70">F178+F179+F180</f>
        <v>572219.38</v>
      </c>
      <c r="G177" s="1605">
        <f t="shared" si="70"/>
        <v>572219.38</v>
      </c>
      <c r="H177" s="1605">
        <f t="shared" si="70"/>
        <v>427960.72</v>
      </c>
      <c r="I177" s="1606">
        <f t="shared" si="52"/>
        <v>0.74789623518168846</v>
      </c>
      <c r="J177" s="1603">
        <f t="shared" si="70"/>
        <v>0</v>
      </c>
      <c r="K177" s="1603">
        <f t="shared" si="70"/>
        <v>0</v>
      </c>
      <c r="L177" s="1603">
        <f t="shared" si="70"/>
        <v>0</v>
      </c>
    </row>
    <row r="178" spans="1:12" ht="78.75" x14ac:dyDescent="0.2">
      <c r="A178" s="3"/>
      <c r="B178" s="3"/>
      <c r="C178" s="4" t="s">
        <v>226</v>
      </c>
      <c r="D178" s="5" t="s">
        <v>58</v>
      </c>
      <c r="E178" s="1280">
        <v>0</v>
      </c>
      <c r="F178" s="1279">
        <f>G178-E178</f>
        <v>551462.15</v>
      </c>
      <c r="G178" s="1431" t="s">
        <v>274</v>
      </c>
      <c r="H178" s="1432">
        <v>411192.3</v>
      </c>
      <c r="I178" s="1430">
        <f t="shared" si="52"/>
        <v>0.74564011328792013</v>
      </c>
      <c r="J178" s="1281">
        <v>0</v>
      </c>
      <c r="K178" s="1281">
        <v>0</v>
      </c>
      <c r="L178" s="1281">
        <v>0</v>
      </c>
    </row>
    <row r="179" spans="1:12" ht="78.75" x14ac:dyDescent="0.2">
      <c r="A179" s="3"/>
      <c r="B179" s="3"/>
      <c r="C179" s="4" t="s">
        <v>57</v>
      </c>
      <c r="D179" s="5" t="s">
        <v>58</v>
      </c>
      <c r="E179" s="1280">
        <v>0</v>
      </c>
      <c r="F179" s="1279">
        <f t="shared" ref="F179:F180" si="71">G179-E179</f>
        <v>0</v>
      </c>
      <c r="G179" s="1431" t="s">
        <v>7</v>
      </c>
      <c r="H179" s="1432">
        <v>0</v>
      </c>
      <c r="I179" s="1430" t="e">
        <f t="shared" si="52"/>
        <v>#DIV/0!</v>
      </c>
      <c r="J179" s="1281">
        <v>0</v>
      </c>
      <c r="K179" s="1281">
        <v>0</v>
      </c>
      <c r="L179" s="1281">
        <v>0</v>
      </c>
    </row>
    <row r="180" spans="1:12" ht="78.75" x14ac:dyDescent="0.2">
      <c r="A180" s="3"/>
      <c r="B180" s="3"/>
      <c r="C180" s="4" t="s">
        <v>60</v>
      </c>
      <c r="D180" s="5" t="s">
        <v>58</v>
      </c>
      <c r="E180" s="1280">
        <v>0</v>
      </c>
      <c r="F180" s="1279">
        <f t="shared" si="71"/>
        <v>20757.23</v>
      </c>
      <c r="G180" s="1431" t="s">
        <v>275</v>
      </c>
      <c r="H180" s="1432">
        <v>16768.419999999998</v>
      </c>
      <c r="I180" s="1430">
        <f t="shared" si="52"/>
        <v>0.80783514948767243</v>
      </c>
      <c r="J180" s="1281">
        <v>0</v>
      </c>
      <c r="K180" s="1281">
        <v>0</v>
      </c>
      <c r="L180" s="1281">
        <v>0</v>
      </c>
    </row>
    <row r="181" spans="1:12" x14ac:dyDescent="0.2">
      <c r="A181" s="1588" t="s">
        <v>276</v>
      </c>
      <c r="B181" s="1588"/>
      <c r="C181" s="1588"/>
      <c r="D181" s="1589" t="s">
        <v>277</v>
      </c>
      <c r="E181" s="1590">
        <f>E182</f>
        <v>0</v>
      </c>
      <c r="F181" s="1591">
        <f t="shared" ref="F181:L181" si="72">F182</f>
        <v>185478</v>
      </c>
      <c r="G181" s="1592">
        <f t="shared" si="72"/>
        <v>185478</v>
      </c>
      <c r="H181" s="1592">
        <f t="shared" si="72"/>
        <v>185478</v>
      </c>
      <c r="I181" s="1593">
        <f t="shared" si="52"/>
        <v>1</v>
      </c>
      <c r="J181" s="1590">
        <f t="shared" si="72"/>
        <v>0</v>
      </c>
      <c r="K181" s="1590">
        <f t="shared" si="72"/>
        <v>0</v>
      </c>
      <c r="L181" s="1590">
        <f t="shared" si="72"/>
        <v>0</v>
      </c>
    </row>
    <row r="182" spans="1:12" ht="22.5" x14ac:dyDescent="0.2">
      <c r="A182" s="2"/>
      <c r="B182" s="1600" t="s">
        <v>278</v>
      </c>
      <c r="C182" s="1601"/>
      <c r="D182" s="1602" t="s">
        <v>279</v>
      </c>
      <c r="E182" s="1603">
        <f>E183+E184</f>
        <v>0</v>
      </c>
      <c r="F182" s="1604">
        <f t="shared" ref="F182:L182" si="73">F183+F184</f>
        <v>185478</v>
      </c>
      <c r="G182" s="1605">
        <f t="shared" si="73"/>
        <v>185478</v>
      </c>
      <c r="H182" s="1605">
        <f t="shared" si="73"/>
        <v>185478</v>
      </c>
      <c r="I182" s="1606">
        <f t="shared" si="52"/>
        <v>1</v>
      </c>
      <c r="J182" s="1603">
        <f t="shared" si="73"/>
        <v>0</v>
      </c>
      <c r="K182" s="1603">
        <f t="shared" si="73"/>
        <v>0</v>
      </c>
      <c r="L182" s="1603">
        <f t="shared" si="73"/>
        <v>0</v>
      </c>
    </row>
    <row r="183" spans="1:12" ht="45" x14ac:dyDescent="0.2">
      <c r="A183" s="3"/>
      <c r="B183" s="3"/>
      <c r="C183" s="4" t="s">
        <v>175</v>
      </c>
      <c r="D183" s="5" t="s">
        <v>176</v>
      </c>
      <c r="E183" s="1280">
        <v>0</v>
      </c>
      <c r="F183" s="1279">
        <f>G183-E183</f>
        <v>185033</v>
      </c>
      <c r="G183" s="1431" t="s">
        <v>280</v>
      </c>
      <c r="H183" s="1432">
        <v>185033</v>
      </c>
      <c r="I183" s="1430">
        <f t="shared" si="52"/>
        <v>1</v>
      </c>
      <c r="J183" s="1281">
        <v>0</v>
      </c>
      <c r="K183" s="1281">
        <v>0</v>
      </c>
      <c r="L183" s="1281">
        <v>0</v>
      </c>
    </row>
    <row r="184" spans="1:12" ht="67.5" x14ac:dyDescent="0.2">
      <c r="A184" s="3"/>
      <c r="B184" s="3"/>
      <c r="C184" s="4" t="s">
        <v>281</v>
      </c>
      <c r="D184" s="5" t="s">
        <v>282</v>
      </c>
      <c r="E184" s="1280">
        <v>0</v>
      </c>
      <c r="F184" s="1279">
        <f>G184-E184</f>
        <v>445</v>
      </c>
      <c r="G184" s="1431" t="s">
        <v>283</v>
      </c>
      <c r="H184" s="1432">
        <v>445</v>
      </c>
      <c r="I184" s="1430">
        <f t="shared" si="52"/>
        <v>1</v>
      </c>
      <c r="J184" s="1281">
        <v>0</v>
      </c>
      <c r="K184" s="1281">
        <v>0</v>
      </c>
      <c r="L184" s="1281">
        <v>0</v>
      </c>
    </row>
    <row r="185" spans="1:12" x14ac:dyDescent="0.2">
      <c r="A185" s="1588" t="s">
        <v>284</v>
      </c>
      <c r="B185" s="1588"/>
      <c r="C185" s="1588"/>
      <c r="D185" s="1589" t="s">
        <v>285</v>
      </c>
      <c r="E185" s="1590">
        <f>E186+E191+E198+E201+E204</f>
        <v>19756489</v>
      </c>
      <c r="F185" s="1591">
        <f t="shared" ref="F185:L185" si="74">F186+F191+F198+F201+F204</f>
        <v>3124695.43</v>
      </c>
      <c r="G185" s="1592">
        <f t="shared" si="74"/>
        <v>22881184.43</v>
      </c>
      <c r="H185" s="1592">
        <f t="shared" si="74"/>
        <v>22517972.359999999</v>
      </c>
      <c r="I185" s="1593">
        <f t="shared" si="52"/>
        <v>0.98412616833227451</v>
      </c>
      <c r="J185" s="1590">
        <f t="shared" si="74"/>
        <v>2918992.31</v>
      </c>
      <c r="K185" s="1590">
        <f t="shared" si="74"/>
        <v>2911044.9</v>
      </c>
      <c r="L185" s="1590">
        <f t="shared" si="74"/>
        <v>0</v>
      </c>
    </row>
    <row r="186" spans="1:12" ht="15" x14ac:dyDescent="0.2">
      <c r="A186" s="2"/>
      <c r="B186" s="1600" t="s">
        <v>286</v>
      </c>
      <c r="C186" s="1601"/>
      <c r="D186" s="1602" t="s">
        <v>287</v>
      </c>
      <c r="E186" s="1603">
        <f>E187+E188+E189+E190</f>
        <v>12044539</v>
      </c>
      <c r="F186" s="1604">
        <f t="shared" ref="F186:L186" si="75">F187+F188+F189+F190</f>
        <v>2901461</v>
      </c>
      <c r="G186" s="1605">
        <f t="shared" si="75"/>
        <v>14946000</v>
      </c>
      <c r="H186" s="1605">
        <f t="shared" si="75"/>
        <v>14623915.780000001</v>
      </c>
      <c r="I186" s="1606">
        <f t="shared" si="52"/>
        <v>0.97845013916767032</v>
      </c>
      <c r="J186" s="1603">
        <f t="shared" si="75"/>
        <v>3200</v>
      </c>
      <c r="K186" s="1603">
        <f t="shared" si="75"/>
        <v>0</v>
      </c>
      <c r="L186" s="1603">
        <f t="shared" si="75"/>
        <v>0</v>
      </c>
    </row>
    <row r="187" spans="1:12" ht="67.5" x14ac:dyDescent="0.2">
      <c r="A187" s="3"/>
      <c r="B187" s="3"/>
      <c r="C187" s="4" t="s">
        <v>288</v>
      </c>
      <c r="D187" s="5" t="s">
        <v>289</v>
      </c>
      <c r="E187" s="1280">
        <v>0</v>
      </c>
      <c r="F187" s="1279">
        <f>G187-E187</f>
        <v>1000</v>
      </c>
      <c r="G187" s="1431" t="s">
        <v>95</v>
      </c>
      <c r="H187" s="1432">
        <v>74.88</v>
      </c>
      <c r="I187" s="1430">
        <f t="shared" si="52"/>
        <v>7.4880000000000002E-2</v>
      </c>
      <c r="J187" s="1281">
        <v>0</v>
      </c>
      <c r="K187" s="1281">
        <v>0</v>
      </c>
      <c r="L187" s="1281">
        <v>0</v>
      </c>
    </row>
    <row r="188" spans="1:12" ht="90" x14ac:dyDescent="0.2">
      <c r="A188" s="3"/>
      <c r="B188" s="3"/>
      <c r="C188" s="4" t="s">
        <v>290</v>
      </c>
      <c r="D188" s="5" t="s">
        <v>291</v>
      </c>
      <c r="E188" s="1280">
        <v>12044539</v>
      </c>
      <c r="F188" s="1279">
        <f t="shared" ref="F188:F190" si="76">G188-E188</f>
        <v>2885461</v>
      </c>
      <c r="G188" s="1431" t="s">
        <v>292</v>
      </c>
      <c r="H188" s="1432">
        <v>14617040.9</v>
      </c>
      <c r="I188" s="1430">
        <f t="shared" si="52"/>
        <v>0.97903823844608173</v>
      </c>
      <c r="J188" s="1281">
        <v>0</v>
      </c>
      <c r="K188" s="1281">
        <v>0</v>
      </c>
      <c r="L188" s="1281">
        <v>0</v>
      </c>
    </row>
    <row r="189" spans="1:12" ht="67.5" x14ac:dyDescent="0.2">
      <c r="A189" s="3"/>
      <c r="B189" s="3"/>
      <c r="C189" s="4" t="s">
        <v>240</v>
      </c>
      <c r="D189" s="5" t="s">
        <v>241</v>
      </c>
      <c r="E189" s="1280">
        <v>0</v>
      </c>
      <c r="F189" s="1279">
        <f t="shared" si="76"/>
        <v>15000</v>
      </c>
      <c r="G189" s="1431" t="s">
        <v>29</v>
      </c>
      <c r="H189" s="1432">
        <v>6800</v>
      </c>
      <c r="I189" s="1430">
        <f t="shared" si="52"/>
        <v>0.45333333333333331</v>
      </c>
      <c r="J189" s="1281">
        <v>3200</v>
      </c>
      <c r="K189" s="1281">
        <v>0</v>
      </c>
      <c r="L189" s="1281">
        <v>0</v>
      </c>
    </row>
    <row r="190" spans="1:12" ht="22.5" x14ac:dyDescent="0.2">
      <c r="A190" s="3"/>
      <c r="B190" s="3"/>
      <c r="C190" s="4" t="s">
        <v>243</v>
      </c>
      <c r="D190" s="5" t="s">
        <v>244</v>
      </c>
      <c r="E190" s="1280">
        <v>0</v>
      </c>
      <c r="F190" s="1279">
        <f t="shared" si="76"/>
        <v>0</v>
      </c>
      <c r="G190" s="1431" t="s">
        <v>7</v>
      </c>
      <c r="H190" s="1432">
        <v>0</v>
      </c>
      <c r="I190" s="1430">
        <v>0</v>
      </c>
      <c r="J190" s="1281">
        <v>0</v>
      </c>
      <c r="K190" s="1281">
        <v>0</v>
      </c>
      <c r="L190" s="1281">
        <v>0</v>
      </c>
    </row>
    <row r="191" spans="1:12" ht="56.25" x14ac:dyDescent="0.2">
      <c r="A191" s="2"/>
      <c r="B191" s="1600" t="s">
        <v>293</v>
      </c>
      <c r="C191" s="1607"/>
      <c r="D191" s="1608" t="s">
        <v>294</v>
      </c>
      <c r="E191" s="1609">
        <f>E193+E194+E195+E196+E197+E192</f>
        <v>7711950</v>
      </c>
      <c r="F191" s="1610">
        <f t="shared" ref="F191:L191" si="77">F193+F194+F195+F196+F197+F192</f>
        <v>162114</v>
      </c>
      <c r="G191" s="1611">
        <f t="shared" si="77"/>
        <v>7874064</v>
      </c>
      <c r="H191" s="1611">
        <f t="shared" si="77"/>
        <v>7836603.4699999988</v>
      </c>
      <c r="I191" s="1606">
        <f t="shared" si="52"/>
        <v>0.99524254184370342</v>
      </c>
      <c r="J191" s="1609">
        <f t="shared" si="77"/>
        <v>2915792.31</v>
      </c>
      <c r="K191" s="1609">
        <f t="shared" si="77"/>
        <v>2911044.9</v>
      </c>
      <c r="L191" s="1609">
        <f t="shared" si="77"/>
        <v>0</v>
      </c>
    </row>
    <row r="192" spans="1:12" s="1287" customFormat="1" ht="22.5" x14ac:dyDescent="0.2">
      <c r="A192" s="1305"/>
      <c r="B192" s="1306"/>
      <c r="C192" s="1311" t="s">
        <v>144</v>
      </c>
      <c r="D192" s="5" t="s">
        <v>145</v>
      </c>
      <c r="E192" s="1310">
        <v>0</v>
      </c>
      <c r="F192" s="1428">
        <v>0</v>
      </c>
      <c r="G192" s="1437">
        <v>0</v>
      </c>
      <c r="H192" s="1437">
        <v>11.6</v>
      </c>
      <c r="I192" s="1430">
        <v>0</v>
      </c>
      <c r="J192" s="1310">
        <v>0</v>
      </c>
      <c r="K192" s="1310">
        <v>0</v>
      </c>
      <c r="L192" s="1310">
        <v>0</v>
      </c>
    </row>
    <row r="193" spans="1:12" ht="67.5" x14ac:dyDescent="0.2">
      <c r="A193" s="3"/>
      <c r="B193" s="3"/>
      <c r="C193" s="1300" t="s">
        <v>288</v>
      </c>
      <c r="D193" s="1301" t="s">
        <v>289</v>
      </c>
      <c r="E193" s="1302">
        <v>1500</v>
      </c>
      <c r="F193" s="1429">
        <f>G193-E193</f>
        <v>4000</v>
      </c>
      <c r="G193" s="1438" t="s">
        <v>295</v>
      </c>
      <c r="H193" s="1439">
        <v>4680.7700000000004</v>
      </c>
      <c r="I193" s="1430">
        <f t="shared" si="52"/>
        <v>0.85104909090909098</v>
      </c>
      <c r="J193" s="1303">
        <v>0</v>
      </c>
      <c r="K193" s="1303">
        <v>0</v>
      </c>
      <c r="L193" s="1303">
        <v>0</v>
      </c>
    </row>
    <row r="194" spans="1:12" ht="56.25" x14ac:dyDescent="0.2">
      <c r="A194" s="3"/>
      <c r="B194" s="3"/>
      <c r="C194" s="4" t="s">
        <v>18</v>
      </c>
      <c r="D194" s="5" t="s">
        <v>19</v>
      </c>
      <c r="E194" s="1280">
        <v>7639450</v>
      </c>
      <c r="F194" s="1279">
        <f t="shared" ref="F194:F197" si="78">G194-E194</f>
        <v>137114</v>
      </c>
      <c r="G194" s="1431" t="s">
        <v>296</v>
      </c>
      <c r="H194" s="1432">
        <v>7728495</v>
      </c>
      <c r="I194" s="1430">
        <f t="shared" si="52"/>
        <v>0.99381873536950249</v>
      </c>
      <c r="J194" s="1281">
        <v>0</v>
      </c>
      <c r="K194" s="1281">
        <v>0</v>
      </c>
      <c r="L194" s="1281">
        <v>0</v>
      </c>
    </row>
    <row r="195" spans="1:12" ht="45" x14ac:dyDescent="0.2">
      <c r="A195" s="3"/>
      <c r="B195" s="3"/>
      <c r="C195" s="4" t="s">
        <v>263</v>
      </c>
      <c r="D195" s="5" t="s">
        <v>264</v>
      </c>
      <c r="E195" s="1280">
        <v>62000</v>
      </c>
      <c r="F195" s="1279">
        <f t="shared" si="78"/>
        <v>0</v>
      </c>
      <c r="G195" s="1431" t="s">
        <v>297</v>
      </c>
      <c r="H195" s="1432">
        <v>79414.83</v>
      </c>
      <c r="I195" s="1430">
        <f t="shared" si="52"/>
        <v>1.2808843548387097</v>
      </c>
      <c r="J195" s="1281">
        <v>2910244.9</v>
      </c>
      <c r="K195" s="1281">
        <v>2910244.9</v>
      </c>
      <c r="L195" s="1281">
        <v>0</v>
      </c>
    </row>
    <row r="196" spans="1:12" ht="67.5" x14ac:dyDescent="0.2">
      <c r="A196" s="3"/>
      <c r="B196" s="3"/>
      <c r="C196" s="4" t="s">
        <v>240</v>
      </c>
      <c r="D196" s="5" t="s">
        <v>241</v>
      </c>
      <c r="E196" s="1280">
        <v>9000</v>
      </c>
      <c r="F196" s="1279">
        <f t="shared" si="78"/>
        <v>21000</v>
      </c>
      <c r="G196" s="1431" t="s">
        <v>138</v>
      </c>
      <c r="H196" s="1432">
        <v>24001.27</v>
      </c>
      <c r="I196" s="1430">
        <f t="shared" si="52"/>
        <v>0.8000423333333333</v>
      </c>
      <c r="J196" s="1281">
        <v>5547.41</v>
      </c>
      <c r="K196" s="1281">
        <v>800</v>
      </c>
      <c r="L196" s="1281">
        <v>0</v>
      </c>
    </row>
    <row r="197" spans="1:12" ht="22.5" x14ac:dyDescent="0.2">
      <c r="A197" s="3"/>
      <c r="B197" s="3"/>
      <c r="C197" s="4" t="s">
        <v>243</v>
      </c>
      <c r="D197" s="5" t="s">
        <v>244</v>
      </c>
      <c r="E197" s="1280">
        <v>0</v>
      </c>
      <c r="F197" s="1279">
        <f t="shared" si="78"/>
        <v>0</v>
      </c>
      <c r="G197" s="1431" t="s">
        <v>7</v>
      </c>
      <c r="H197" s="1432">
        <v>0</v>
      </c>
      <c r="I197" s="1430">
        <v>0</v>
      </c>
      <c r="J197" s="1281">
        <v>0</v>
      </c>
      <c r="K197" s="1281">
        <v>0</v>
      </c>
      <c r="L197" s="1281">
        <v>0</v>
      </c>
    </row>
    <row r="198" spans="1:12" ht="15" x14ac:dyDescent="0.2">
      <c r="A198" s="2"/>
      <c r="B198" s="1600" t="s">
        <v>298</v>
      </c>
      <c r="C198" s="1601"/>
      <c r="D198" s="1602" t="s">
        <v>299</v>
      </c>
      <c r="E198" s="1603">
        <f>E199+E200</f>
        <v>0</v>
      </c>
      <c r="F198" s="1604">
        <f t="shared" ref="F198:L198" si="79">F199+F200</f>
        <v>327</v>
      </c>
      <c r="G198" s="1605">
        <f t="shared" si="79"/>
        <v>327</v>
      </c>
      <c r="H198" s="1605">
        <f t="shared" si="79"/>
        <v>311.8</v>
      </c>
      <c r="I198" s="1606">
        <f t="shared" si="52"/>
        <v>0.95351681957186551</v>
      </c>
      <c r="J198" s="1603">
        <f t="shared" si="79"/>
        <v>0</v>
      </c>
      <c r="K198" s="1603">
        <f t="shared" si="79"/>
        <v>0</v>
      </c>
      <c r="L198" s="1603">
        <f t="shared" si="79"/>
        <v>0</v>
      </c>
    </row>
    <row r="199" spans="1:12" ht="56.25" x14ac:dyDescent="0.2">
      <c r="A199" s="3"/>
      <c r="B199" s="3"/>
      <c r="C199" s="4" t="s">
        <v>18</v>
      </c>
      <c r="D199" s="5" t="s">
        <v>19</v>
      </c>
      <c r="E199" s="1293">
        <v>0</v>
      </c>
      <c r="F199" s="1294">
        <f>G199-E199</f>
        <v>327</v>
      </c>
      <c r="G199" s="1434" t="s">
        <v>300</v>
      </c>
      <c r="H199" s="1435">
        <v>310.88</v>
      </c>
      <c r="I199" s="1430">
        <f t="shared" si="52"/>
        <v>0.95070336391437305</v>
      </c>
      <c r="J199" s="1295">
        <v>0</v>
      </c>
      <c r="K199" s="1295">
        <v>0</v>
      </c>
      <c r="L199" s="1295">
        <v>0</v>
      </c>
    </row>
    <row r="200" spans="1:12" ht="45" x14ac:dyDescent="0.2">
      <c r="A200" s="1282"/>
      <c r="B200" s="1282"/>
      <c r="C200" s="1283" t="s">
        <v>263</v>
      </c>
      <c r="D200" s="1299" t="s">
        <v>264</v>
      </c>
      <c r="E200" s="1298">
        <v>0</v>
      </c>
      <c r="F200" s="1427">
        <v>0</v>
      </c>
      <c r="G200" s="1436">
        <v>0</v>
      </c>
      <c r="H200" s="1432">
        <v>0.92</v>
      </c>
      <c r="I200" s="1430">
        <v>0</v>
      </c>
      <c r="J200" s="1281">
        <v>0</v>
      </c>
      <c r="K200" s="1281">
        <v>0</v>
      </c>
      <c r="L200" s="1281">
        <v>0</v>
      </c>
    </row>
    <row r="201" spans="1:12" ht="15" x14ac:dyDescent="0.2">
      <c r="A201" s="2"/>
      <c r="B201" s="1600" t="s">
        <v>301</v>
      </c>
      <c r="C201" s="1601"/>
      <c r="D201" s="1602" t="s">
        <v>302</v>
      </c>
      <c r="E201" s="1612">
        <f>E202+E203</f>
        <v>0</v>
      </c>
      <c r="F201" s="1613">
        <f t="shared" ref="F201:L201" si="80">F202+F203</f>
        <v>60793.43</v>
      </c>
      <c r="G201" s="1614">
        <f t="shared" si="80"/>
        <v>60793.43</v>
      </c>
      <c r="H201" s="1614">
        <f t="shared" si="80"/>
        <v>57141.31</v>
      </c>
      <c r="I201" s="1606">
        <f t="shared" si="52"/>
        <v>0.93992574526556572</v>
      </c>
      <c r="J201" s="1612">
        <f t="shared" si="80"/>
        <v>0</v>
      </c>
      <c r="K201" s="1612">
        <f t="shared" si="80"/>
        <v>0</v>
      </c>
      <c r="L201" s="1612">
        <f t="shared" si="80"/>
        <v>0</v>
      </c>
    </row>
    <row r="202" spans="1:12" ht="45" x14ac:dyDescent="0.2">
      <c r="A202" s="3"/>
      <c r="B202" s="3"/>
      <c r="C202" s="4" t="s">
        <v>175</v>
      </c>
      <c r="D202" s="5" t="s">
        <v>176</v>
      </c>
      <c r="E202" s="1280">
        <v>0</v>
      </c>
      <c r="F202" s="1279">
        <f>G202-E202</f>
        <v>20061.830000000002</v>
      </c>
      <c r="G202" s="1431" t="s">
        <v>303</v>
      </c>
      <c r="H202" s="1432">
        <v>18856.63</v>
      </c>
      <c r="I202" s="1430">
        <f t="shared" si="52"/>
        <v>0.93992571963773985</v>
      </c>
      <c r="J202" s="1281">
        <v>0</v>
      </c>
      <c r="K202" s="1281">
        <v>0</v>
      </c>
      <c r="L202" s="1281">
        <v>0</v>
      </c>
    </row>
    <row r="203" spans="1:12" ht="56.25" x14ac:dyDescent="0.2">
      <c r="A203" s="3"/>
      <c r="B203" s="3"/>
      <c r="C203" s="4" t="s">
        <v>304</v>
      </c>
      <c r="D203" s="5" t="s">
        <v>305</v>
      </c>
      <c r="E203" s="1280">
        <v>0</v>
      </c>
      <c r="F203" s="1279">
        <f>G203-E203</f>
        <v>40731.599999999999</v>
      </c>
      <c r="G203" s="1431" t="s">
        <v>306</v>
      </c>
      <c r="H203" s="1432">
        <v>38284.68</v>
      </c>
      <c r="I203" s="1430">
        <f t="shared" si="52"/>
        <v>0.93992575788822441</v>
      </c>
      <c r="J203" s="1281">
        <v>0</v>
      </c>
      <c r="K203" s="1281">
        <v>0</v>
      </c>
      <c r="L203" s="1281">
        <v>0</v>
      </c>
    </row>
    <row r="204" spans="1:12" ht="15" x14ac:dyDescent="0.2">
      <c r="A204" s="2"/>
      <c r="B204" s="1600" t="s">
        <v>307</v>
      </c>
      <c r="C204" s="1601"/>
      <c r="D204" s="1602" t="s">
        <v>14</v>
      </c>
      <c r="E204" s="1603">
        <f>E205</f>
        <v>0</v>
      </c>
      <c r="F204" s="1604">
        <f t="shared" ref="F204:L204" si="81">F205</f>
        <v>0</v>
      </c>
      <c r="G204" s="1605" t="str">
        <f t="shared" si="81"/>
        <v>0,00</v>
      </c>
      <c r="H204" s="1605">
        <f t="shared" si="81"/>
        <v>0</v>
      </c>
      <c r="I204" s="1606">
        <v>0</v>
      </c>
      <c r="J204" s="1603">
        <f t="shared" si="81"/>
        <v>0</v>
      </c>
      <c r="K204" s="1603">
        <f t="shared" si="81"/>
        <v>0</v>
      </c>
      <c r="L204" s="1603">
        <f t="shared" si="81"/>
        <v>0</v>
      </c>
    </row>
    <row r="205" spans="1:12" ht="56.25" x14ac:dyDescent="0.2">
      <c r="A205" s="3"/>
      <c r="B205" s="3"/>
      <c r="C205" s="4" t="s">
        <v>18</v>
      </c>
      <c r="D205" s="5" t="s">
        <v>19</v>
      </c>
      <c r="E205" s="1280">
        <v>0</v>
      </c>
      <c r="F205" s="1279"/>
      <c r="G205" s="1431" t="s">
        <v>7</v>
      </c>
      <c r="H205" s="1432">
        <v>0</v>
      </c>
      <c r="I205" s="1430">
        <v>0</v>
      </c>
      <c r="J205" s="1281">
        <v>0</v>
      </c>
      <c r="K205" s="1281">
        <v>0</v>
      </c>
      <c r="L205" s="1281">
        <v>0</v>
      </c>
    </row>
    <row r="206" spans="1:12" ht="22.5" x14ac:dyDescent="0.2">
      <c r="A206" s="1588" t="s">
        <v>308</v>
      </c>
      <c r="B206" s="1588"/>
      <c r="C206" s="1588"/>
      <c r="D206" s="1589" t="s">
        <v>309</v>
      </c>
      <c r="E206" s="1590">
        <f>E207+E213+E216</f>
        <v>2134724.91</v>
      </c>
      <c r="F206" s="1591">
        <f t="shared" ref="F206:L206" si="82">F207+F213+F216</f>
        <v>0</v>
      </c>
      <c r="G206" s="1592">
        <f t="shared" si="82"/>
        <v>2134724.91</v>
      </c>
      <c r="H206" s="1592">
        <f t="shared" si="82"/>
        <v>2001561.9300000002</v>
      </c>
      <c r="I206" s="1593">
        <f t="shared" ref="I206:I229" si="83">H206/G206</f>
        <v>0.93762054334204592</v>
      </c>
      <c r="J206" s="1590">
        <f t="shared" si="82"/>
        <v>329521.25</v>
      </c>
      <c r="K206" s="1590">
        <f t="shared" si="82"/>
        <v>302057.48</v>
      </c>
      <c r="L206" s="1590">
        <f t="shared" si="82"/>
        <v>16255.4</v>
      </c>
    </row>
    <row r="207" spans="1:12" ht="15" x14ac:dyDescent="0.2">
      <c r="A207" s="2"/>
      <c r="B207" s="1600" t="s">
        <v>310</v>
      </c>
      <c r="C207" s="1601"/>
      <c r="D207" s="1602" t="s">
        <v>311</v>
      </c>
      <c r="E207" s="1603">
        <f>E208+E209+E210+E212</f>
        <v>1824276</v>
      </c>
      <c r="F207" s="1604">
        <f t="shared" ref="F207:G207" si="84">F208+F209+F210+F212</f>
        <v>0</v>
      </c>
      <c r="G207" s="1605">
        <f t="shared" si="84"/>
        <v>1824276</v>
      </c>
      <c r="H207" s="1605">
        <f>H208+H209+H210+H212+H211</f>
        <v>1939491.56</v>
      </c>
      <c r="I207" s="1606">
        <f t="shared" si="83"/>
        <v>1.0631568688071322</v>
      </c>
      <c r="J207" s="1603">
        <f>J208+J209+J210+J212+J211</f>
        <v>329521.25</v>
      </c>
      <c r="K207" s="1603">
        <f>K208+K209+K210+K212+K211</f>
        <v>302057.48</v>
      </c>
      <c r="L207" s="1603">
        <f>L208+L209+L210+L212+L211</f>
        <v>16255.4</v>
      </c>
    </row>
    <row r="208" spans="1:12" ht="45" x14ac:dyDescent="0.2">
      <c r="A208" s="3"/>
      <c r="B208" s="3"/>
      <c r="C208" s="4" t="s">
        <v>32</v>
      </c>
      <c r="D208" s="5" t="s">
        <v>33</v>
      </c>
      <c r="E208" s="1280">
        <v>1820276</v>
      </c>
      <c r="F208" s="1279">
        <f>G208-E208</f>
        <v>0</v>
      </c>
      <c r="G208" s="1431" t="s">
        <v>312</v>
      </c>
      <c r="H208" s="1432">
        <v>1902244.65</v>
      </c>
      <c r="I208" s="1430">
        <f t="shared" si="83"/>
        <v>1.0450308909198385</v>
      </c>
      <c r="J208" s="1281">
        <v>306755.25</v>
      </c>
      <c r="K208" s="1281">
        <v>302057.48</v>
      </c>
      <c r="L208" s="1281">
        <v>16155.4</v>
      </c>
    </row>
    <row r="209" spans="1:12" ht="22.5" x14ac:dyDescent="0.2">
      <c r="A209" s="3"/>
      <c r="B209" s="3"/>
      <c r="C209" s="1291" t="s">
        <v>144</v>
      </c>
      <c r="D209" s="5" t="s">
        <v>145</v>
      </c>
      <c r="E209" s="1280">
        <v>0</v>
      </c>
      <c r="F209" s="1279">
        <f t="shared" ref="F209:F210" si="85">G209-E209</f>
        <v>4000</v>
      </c>
      <c r="G209" s="1431" t="s">
        <v>210</v>
      </c>
      <c r="H209" s="1432">
        <v>18099.5</v>
      </c>
      <c r="I209" s="1430">
        <f t="shared" si="83"/>
        <v>4.5248749999999998</v>
      </c>
      <c r="J209" s="1281">
        <v>0</v>
      </c>
      <c r="K209" s="1281">
        <v>0</v>
      </c>
      <c r="L209" s="1281">
        <v>0</v>
      </c>
    </row>
    <row r="210" spans="1:12" x14ac:dyDescent="0.2">
      <c r="A210" s="3"/>
      <c r="B210" s="1290"/>
      <c r="C210" s="1304" t="s">
        <v>25</v>
      </c>
      <c r="D210" s="1726" t="s">
        <v>26</v>
      </c>
      <c r="E210" s="1452">
        <v>4000</v>
      </c>
      <c r="F210" s="1453">
        <f t="shared" si="85"/>
        <v>-4000</v>
      </c>
      <c r="G210" s="1454" t="s">
        <v>7</v>
      </c>
      <c r="H210" s="1435">
        <v>0</v>
      </c>
      <c r="I210" s="1430">
        <v>0</v>
      </c>
      <c r="J210" s="1295">
        <v>0</v>
      </c>
      <c r="K210" s="1295">
        <v>0</v>
      </c>
      <c r="L210" s="1295">
        <v>0</v>
      </c>
    </row>
    <row r="211" spans="1:12" ht="67.5" x14ac:dyDescent="0.2">
      <c r="A211" s="1282"/>
      <c r="B211" s="1290"/>
      <c r="C211" s="4" t="s">
        <v>15</v>
      </c>
      <c r="D211" s="5" t="s">
        <v>16</v>
      </c>
      <c r="E211" s="1725">
        <v>0</v>
      </c>
      <c r="F211" s="1718">
        <v>0</v>
      </c>
      <c r="G211" s="1719">
        <v>0</v>
      </c>
      <c r="H211" s="1435">
        <v>585.36</v>
      </c>
      <c r="I211" s="1430">
        <v>0</v>
      </c>
      <c r="J211" s="1295">
        <v>0</v>
      </c>
      <c r="K211" s="1295">
        <v>0</v>
      </c>
      <c r="L211" s="1295">
        <v>100</v>
      </c>
    </row>
    <row r="212" spans="1:12" ht="22.5" x14ac:dyDescent="0.2">
      <c r="A212" s="1282"/>
      <c r="B212" s="1290"/>
      <c r="C212" s="1296" t="s">
        <v>51</v>
      </c>
      <c r="D212" s="5" t="s">
        <v>52</v>
      </c>
      <c r="E212" s="1298">
        <v>0</v>
      </c>
      <c r="F212" s="1427">
        <v>0</v>
      </c>
      <c r="G212" s="1436">
        <v>0</v>
      </c>
      <c r="H212" s="1432">
        <v>18562.05</v>
      </c>
      <c r="I212" s="1430">
        <v>0</v>
      </c>
      <c r="J212" s="1281">
        <v>22766</v>
      </c>
      <c r="K212" s="1281">
        <v>0</v>
      </c>
      <c r="L212" s="1281">
        <v>0</v>
      </c>
    </row>
    <row r="213" spans="1:12" ht="33.75" x14ac:dyDescent="0.2">
      <c r="A213" s="2"/>
      <c r="B213" s="1600" t="s">
        <v>313</v>
      </c>
      <c r="C213" s="1713"/>
      <c r="D213" s="1714" t="s">
        <v>314</v>
      </c>
      <c r="E213" s="1715">
        <f>E215+E214</f>
        <v>300000</v>
      </c>
      <c r="F213" s="1716">
        <f t="shared" ref="F213:L213" si="86">F215+F214</f>
        <v>0</v>
      </c>
      <c r="G213" s="1717">
        <f t="shared" si="86"/>
        <v>300000</v>
      </c>
      <c r="H213" s="1717">
        <f t="shared" si="86"/>
        <v>54339.86</v>
      </c>
      <c r="I213" s="1606">
        <f t="shared" si="83"/>
        <v>0.18113286666666667</v>
      </c>
      <c r="J213" s="1715">
        <f t="shared" si="86"/>
        <v>0</v>
      </c>
      <c r="K213" s="1715">
        <f t="shared" si="86"/>
        <v>0</v>
      </c>
      <c r="L213" s="1715">
        <f t="shared" si="86"/>
        <v>0</v>
      </c>
    </row>
    <row r="214" spans="1:12" s="1287" customFormat="1" ht="22.5" x14ac:dyDescent="0.2">
      <c r="A214" s="1305"/>
      <c r="B214" s="1306"/>
      <c r="C214" s="1311" t="s">
        <v>77</v>
      </c>
      <c r="D214" s="5" t="s">
        <v>78</v>
      </c>
      <c r="E214" s="1310">
        <v>0</v>
      </c>
      <c r="F214" s="1428">
        <v>0</v>
      </c>
      <c r="G214" s="1437">
        <v>0</v>
      </c>
      <c r="H214" s="1437">
        <v>7000</v>
      </c>
      <c r="I214" s="1430">
        <v>0</v>
      </c>
      <c r="J214" s="1310">
        <v>0</v>
      </c>
      <c r="K214" s="1310">
        <v>0</v>
      </c>
      <c r="L214" s="1310">
        <v>0</v>
      </c>
    </row>
    <row r="215" spans="1:12" x14ac:dyDescent="0.2">
      <c r="A215" s="3"/>
      <c r="B215" s="3"/>
      <c r="C215" s="1300" t="s">
        <v>25</v>
      </c>
      <c r="D215" s="1301" t="s">
        <v>26</v>
      </c>
      <c r="E215" s="1302">
        <v>300000</v>
      </c>
      <c r="F215" s="1429">
        <f>G215-E215</f>
        <v>0</v>
      </c>
      <c r="G215" s="1438" t="s">
        <v>152</v>
      </c>
      <c r="H215" s="1439">
        <v>47339.86</v>
      </c>
      <c r="I215" s="1430">
        <f t="shared" si="83"/>
        <v>0.15779953333333332</v>
      </c>
      <c r="J215" s="1303">
        <v>0</v>
      </c>
      <c r="K215" s="1303">
        <v>0</v>
      </c>
      <c r="L215" s="1303">
        <v>0</v>
      </c>
    </row>
    <row r="216" spans="1:12" ht="15" x14ac:dyDescent="0.2">
      <c r="A216" s="2"/>
      <c r="B216" s="1600" t="s">
        <v>315</v>
      </c>
      <c r="C216" s="1601"/>
      <c r="D216" s="1602" t="s">
        <v>14</v>
      </c>
      <c r="E216" s="1603">
        <f>E217+E218</f>
        <v>10448.91</v>
      </c>
      <c r="F216" s="1604">
        <f t="shared" ref="F216:L216" si="87">F217+F218</f>
        <v>0</v>
      </c>
      <c r="G216" s="1605">
        <f t="shared" si="87"/>
        <v>10448.91</v>
      </c>
      <c r="H216" s="1605">
        <f t="shared" si="87"/>
        <v>7730.51</v>
      </c>
      <c r="I216" s="1606">
        <f t="shared" si="83"/>
        <v>0.73983889228637245</v>
      </c>
      <c r="J216" s="1603">
        <f t="shared" si="87"/>
        <v>0</v>
      </c>
      <c r="K216" s="1603">
        <f t="shared" si="87"/>
        <v>0</v>
      </c>
      <c r="L216" s="1603">
        <f t="shared" si="87"/>
        <v>0</v>
      </c>
    </row>
    <row r="217" spans="1:12" x14ac:dyDescent="0.2">
      <c r="A217" s="3"/>
      <c r="B217" s="3"/>
      <c r="C217" s="1291" t="s">
        <v>98</v>
      </c>
      <c r="D217" s="1292" t="s">
        <v>99</v>
      </c>
      <c r="E217" s="1293">
        <v>10448.91</v>
      </c>
      <c r="F217" s="1294">
        <f>G217-E217</f>
        <v>0</v>
      </c>
      <c r="G217" s="1434" t="s">
        <v>316</v>
      </c>
      <c r="H217" s="1435">
        <v>7681.64</v>
      </c>
      <c r="I217" s="1430">
        <f t="shared" si="83"/>
        <v>0.73516184941778617</v>
      </c>
      <c r="J217" s="1295">
        <v>0</v>
      </c>
      <c r="K217" s="1295">
        <v>0</v>
      </c>
      <c r="L217" s="1295">
        <v>0</v>
      </c>
    </row>
    <row r="218" spans="1:12" x14ac:dyDescent="0.2">
      <c r="A218" s="1594"/>
      <c r="B218" s="1306"/>
      <c r="C218" s="1595" t="s">
        <v>54</v>
      </c>
      <c r="D218" s="1596" t="s">
        <v>55</v>
      </c>
      <c r="E218" s="1310">
        <v>0</v>
      </c>
      <c r="F218" s="1428">
        <v>0</v>
      </c>
      <c r="G218" s="1437">
        <v>0</v>
      </c>
      <c r="H218" s="1597">
        <v>48.87</v>
      </c>
      <c r="I218" s="1598">
        <v>0</v>
      </c>
      <c r="J218" s="1599">
        <v>0</v>
      </c>
      <c r="K218" s="1599">
        <v>0</v>
      </c>
      <c r="L218" s="1599">
        <v>0</v>
      </c>
    </row>
    <row r="219" spans="1:12" ht="22.5" x14ac:dyDescent="0.2">
      <c r="A219" s="1588" t="s">
        <v>317</v>
      </c>
      <c r="B219" s="1588"/>
      <c r="C219" s="1582"/>
      <c r="D219" s="1583" t="s">
        <v>318</v>
      </c>
      <c r="E219" s="1584">
        <f>E220</f>
        <v>20000</v>
      </c>
      <c r="F219" s="1585">
        <f t="shared" ref="F219:L219" si="88">F220</f>
        <v>0</v>
      </c>
      <c r="G219" s="1586">
        <f t="shared" si="88"/>
        <v>20000</v>
      </c>
      <c r="H219" s="1586">
        <f t="shared" si="88"/>
        <v>31915.200000000001</v>
      </c>
      <c r="I219" s="1593">
        <f t="shared" si="83"/>
        <v>1.5957600000000001</v>
      </c>
      <c r="J219" s="1584">
        <f t="shared" si="88"/>
        <v>4083.51</v>
      </c>
      <c r="K219" s="1584">
        <f t="shared" si="88"/>
        <v>4083.51</v>
      </c>
      <c r="L219" s="1584">
        <f t="shared" si="88"/>
        <v>700.26</v>
      </c>
    </row>
    <row r="220" spans="1:12" ht="15" x14ac:dyDescent="0.2">
      <c r="A220" s="2"/>
      <c r="B220" s="1600" t="s">
        <v>319</v>
      </c>
      <c r="C220" s="1607"/>
      <c r="D220" s="1608" t="s">
        <v>320</v>
      </c>
      <c r="E220" s="1609">
        <f>E222+E221+E223</f>
        <v>20000</v>
      </c>
      <c r="F220" s="1610">
        <f t="shared" ref="F220:L220" si="89">F222+F221+F223</f>
        <v>0</v>
      </c>
      <c r="G220" s="1611">
        <f t="shared" si="89"/>
        <v>20000</v>
      </c>
      <c r="H220" s="1611">
        <f t="shared" si="89"/>
        <v>31915.200000000001</v>
      </c>
      <c r="I220" s="1606">
        <f t="shared" si="83"/>
        <v>1.5957600000000001</v>
      </c>
      <c r="J220" s="1609">
        <f t="shared" si="89"/>
        <v>4083.51</v>
      </c>
      <c r="K220" s="1609">
        <f t="shared" si="89"/>
        <v>4083.51</v>
      </c>
      <c r="L220" s="1609">
        <f t="shared" si="89"/>
        <v>700.26</v>
      </c>
    </row>
    <row r="221" spans="1:12" s="1287" customFormat="1" ht="22.5" x14ac:dyDescent="0.2">
      <c r="A221" s="1305"/>
      <c r="B221" s="1306"/>
      <c r="C221" s="1311" t="s">
        <v>77</v>
      </c>
      <c r="D221" s="1297" t="s">
        <v>78</v>
      </c>
      <c r="E221" s="1310">
        <v>0</v>
      </c>
      <c r="F221" s="1428">
        <v>0</v>
      </c>
      <c r="G221" s="1437">
        <v>0</v>
      </c>
      <c r="H221" s="1437">
        <v>300</v>
      </c>
      <c r="I221" s="1430">
        <v>0</v>
      </c>
      <c r="J221" s="1310">
        <v>497.04</v>
      </c>
      <c r="K221" s="1310">
        <v>497.04</v>
      </c>
      <c r="L221" s="1310">
        <v>0</v>
      </c>
    </row>
    <row r="222" spans="1:12" x14ac:dyDescent="0.2">
      <c r="A222" s="3"/>
      <c r="B222" s="1290"/>
      <c r="C222" s="1304" t="s">
        <v>98</v>
      </c>
      <c r="D222" s="1297" t="s">
        <v>99</v>
      </c>
      <c r="E222" s="1298">
        <v>20000</v>
      </c>
      <c r="F222" s="1427">
        <f>G222-E222</f>
        <v>0</v>
      </c>
      <c r="G222" s="1436" t="s">
        <v>102</v>
      </c>
      <c r="H222" s="1432">
        <v>31513.63</v>
      </c>
      <c r="I222" s="1430">
        <f t="shared" si="83"/>
        <v>1.5756815</v>
      </c>
      <c r="J222" s="1281">
        <v>3214.84</v>
      </c>
      <c r="K222" s="1281">
        <v>3214.84</v>
      </c>
      <c r="L222" s="1281">
        <v>700.26</v>
      </c>
    </row>
    <row r="223" spans="1:12" x14ac:dyDescent="0.2">
      <c r="A223" s="1282"/>
      <c r="B223" s="1290"/>
      <c r="C223" s="1296" t="s">
        <v>54</v>
      </c>
      <c r="D223" s="1297" t="s">
        <v>55</v>
      </c>
      <c r="E223" s="1298">
        <v>0</v>
      </c>
      <c r="F223" s="1427">
        <v>0</v>
      </c>
      <c r="G223" s="1436">
        <v>0</v>
      </c>
      <c r="H223" s="1432">
        <v>101.57</v>
      </c>
      <c r="I223" s="1430">
        <v>0</v>
      </c>
      <c r="J223" s="1281">
        <v>371.63</v>
      </c>
      <c r="K223" s="1281">
        <v>371.63</v>
      </c>
      <c r="L223" s="1281">
        <v>0</v>
      </c>
    </row>
    <row r="224" spans="1:12" x14ac:dyDescent="0.2">
      <c r="A224" s="1588" t="s">
        <v>321</v>
      </c>
      <c r="B224" s="1588"/>
      <c r="C224" s="1582"/>
      <c r="D224" s="1583" t="s">
        <v>322</v>
      </c>
      <c r="E224" s="1584">
        <f>E225+E227</f>
        <v>0</v>
      </c>
      <c r="F224" s="1585">
        <f t="shared" ref="F224:L224" si="90">F225+F227</f>
        <v>37900</v>
      </c>
      <c r="G224" s="1586">
        <f t="shared" si="90"/>
        <v>37900</v>
      </c>
      <c r="H224" s="1586">
        <f t="shared" si="90"/>
        <v>48374.8</v>
      </c>
      <c r="I224" s="1593">
        <f t="shared" si="83"/>
        <v>1.2763799472295516</v>
      </c>
      <c r="J224" s="1584">
        <f t="shared" si="90"/>
        <v>159.58000000000001</v>
      </c>
      <c r="K224" s="1584">
        <f t="shared" si="90"/>
        <v>0</v>
      </c>
      <c r="L224" s="1584">
        <f t="shared" si="90"/>
        <v>0</v>
      </c>
    </row>
    <row r="225" spans="1:12" ht="15" x14ac:dyDescent="0.2">
      <c r="A225" s="2"/>
      <c r="B225" s="1600" t="s">
        <v>323</v>
      </c>
      <c r="C225" s="1601"/>
      <c r="D225" s="1602" t="s">
        <v>324</v>
      </c>
      <c r="E225" s="1603">
        <f>E226</f>
        <v>0</v>
      </c>
      <c r="F225" s="1604">
        <f t="shared" ref="F225:L225" si="91">F226</f>
        <v>25000</v>
      </c>
      <c r="G225" s="1605" t="str">
        <f t="shared" si="91"/>
        <v>25 000,00</v>
      </c>
      <c r="H225" s="1605">
        <f t="shared" si="91"/>
        <v>25000</v>
      </c>
      <c r="I225" s="1606">
        <f t="shared" si="83"/>
        <v>1</v>
      </c>
      <c r="J225" s="1603">
        <f t="shared" si="91"/>
        <v>0</v>
      </c>
      <c r="K225" s="1603">
        <f t="shared" si="91"/>
        <v>0</v>
      </c>
      <c r="L225" s="1603">
        <f t="shared" si="91"/>
        <v>0</v>
      </c>
    </row>
    <row r="226" spans="1:12" ht="22.5" x14ac:dyDescent="0.2">
      <c r="A226" s="3"/>
      <c r="B226" s="3"/>
      <c r="C226" s="4" t="s">
        <v>247</v>
      </c>
      <c r="D226" s="5" t="s">
        <v>248</v>
      </c>
      <c r="E226" s="1280">
        <v>0</v>
      </c>
      <c r="F226" s="1279">
        <f>G226-E226</f>
        <v>25000</v>
      </c>
      <c r="G226" s="1431" t="s">
        <v>23</v>
      </c>
      <c r="H226" s="1432">
        <v>25000</v>
      </c>
      <c r="I226" s="1430">
        <f t="shared" si="83"/>
        <v>1</v>
      </c>
      <c r="J226" s="1281">
        <v>0</v>
      </c>
      <c r="K226" s="1281">
        <v>0</v>
      </c>
      <c r="L226" s="1281">
        <v>0</v>
      </c>
    </row>
    <row r="227" spans="1:12" ht="15" x14ac:dyDescent="0.2">
      <c r="A227" s="2"/>
      <c r="B227" s="1600" t="s">
        <v>325</v>
      </c>
      <c r="C227" s="1601"/>
      <c r="D227" s="1602" t="s">
        <v>14</v>
      </c>
      <c r="E227" s="1603">
        <f>E228+E229+E230</f>
        <v>0</v>
      </c>
      <c r="F227" s="1604">
        <f>F228+F229+F230</f>
        <v>12900</v>
      </c>
      <c r="G227" s="1605">
        <f>G228+G229+G230</f>
        <v>12900</v>
      </c>
      <c r="H227" s="1605">
        <f>H228+H229+H230</f>
        <v>23374.799999999999</v>
      </c>
      <c r="I227" s="1606">
        <f t="shared" si="83"/>
        <v>1.8119999999999998</v>
      </c>
      <c r="J227" s="1603">
        <f>J228+J229+J230</f>
        <v>159.58000000000001</v>
      </c>
      <c r="K227" s="1603">
        <f t="shared" ref="K227:L227" si="92">K228+K229+K230</f>
        <v>0</v>
      </c>
      <c r="L227" s="1603">
        <f t="shared" si="92"/>
        <v>0</v>
      </c>
    </row>
    <row r="228" spans="1:12" ht="22.5" x14ac:dyDescent="0.2">
      <c r="A228" s="3"/>
      <c r="B228" s="3"/>
      <c r="C228" s="4" t="s">
        <v>247</v>
      </c>
      <c r="D228" s="5" t="s">
        <v>248</v>
      </c>
      <c r="E228" s="1280">
        <v>0</v>
      </c>
      <c r="F228" s="1279">
        <f>G228-E228</f>
        <v>3200</v>
      </c>
      <c r="G228" s="1431" t="s">
        <v>326</v>
      </c>
      <c r="H228" s="1432">
        <v>3200</v>
      </c>
      <c r="I228" s="1430">
        <f t="shared" si="83"/>
        <v>1</v>
      </c>
      <c r="J228" s="1281">
        <v>0</v>
      </c>
      <c r="K228" s="1281">
        <v>0</v>
      </c>
      <c r="L228" s="1281">
        <v>0</v>
      </c>
    </row>
    <row r="229" spans="1:12" x14ac:dyDescent="0.2">
      <c r="A229" s="1282"/>
      <c r="B229" s="1282"/>
      <c r="C229" s="1450" t="s">
        <v>80</v>
      </c>
      <c r="D229" s="1451" t="s">
        <v>81</v>
      </c>
      <c r="E229" s="1452">
        <v>0</v>
      </c>
      <c r="F229" s="1453">
        <f>G229-E229</f>
        <v>9700</v>
      </c>
      <c r="G229" s="1454" t="s">
        <v>327</v>
      </c>
      <c r="H229" s="1432">
        <v>20174.8</v>
      </c>
      <c r="I229" s="1430">
        <f t="shared" si="83"/>
        <v>2.0798762886597939</v>
      </c>
      <c r="J229" s="1281">
        <v>0</v>
      </c>
      <c r="K229" s="1281">
        <v>0</v>
      </c>
      <c r="L229" s="1281">
        <v>0</v>
      </c>
    </row>
    <row r="230" spans="1:12" ht="68.25" thickBot="1" x14ac:dyDescent="0.25">
      <c r="A230" s="1282"/>
      <c r="B230" s="1282"/>
      <c r="C230" s="1282" t="s">
        <v>240</v>
      </c>
      <c r="D230" s="1292" t="s">
        <v>241</v>
      </c>
      <c r="E230" s="1739">
        <v>0</v>
      </c>
      <c r="F230" s="1718">
        <v>0</v>
      </c>
      <c r="G230" s="1719">
        <v>0</v>
      </c>
      <c r="H230" s="1720">
        <v>0</v>
      </c>
      <c r="I230" s="1740">
        <v>0</v>
      </c>
      <c r="J230" s="1295">
        <v>159.58000000000001</v>
      </c>
      <c r="K230" s="1295">
        <v>0</v>
      </c>
      <c r="L230" s="1295">
        <v>0</v>
      </c>
    </row>
    <row r="231" spans="1:12" ht="22.5" customHeight="1" thickBot="1" x14ac:dyDescent="0.25">
      <c r="A231" s="1829" t="s">
        <v>328</v>
      </c>
      <c r="B231" s="1829"/>
      <c r="C231" s="1829"/>
      <c r="D231" s="1829"/>
      <c r="E231" s="1741">
        <f>E224+E219+E206+E185+E176+E151+E113+E96+E63+E59+E56+E41+E38+E24+E16+E13+E6+E181+E148</f>
        <v>66762740.579999998</v>
      </c>
      <c r="F231" s="1742">
        <f t="shared" ref="F231:L231" si="93">F224+F219+F206+F185+F176+F151+F113+F96+F63+F59+F56+F41+F38+F24+F16+F13+F6+F181+F148</f>
        <v>9758390.5800000019</v>
      </c>
      <c r="G231" s="1743">
        <f t="shared" si="93"/>
        <v>76521131.159999982</v>
      </c>
      <c r="H231" s="1743">
        <f t="shared" si="93"/>
        <v>76419934.200000003</v>
      </c>
      <c r="I231" s="1744">
        <f>H231/G231</f>
        <v>0.99867752922015252</v>
      </c>
      <c r="J231" s="1741">
        <f t="shared" si="93"/>
        <v>6390811</v>
      </c>
      <c r="K231" s="1741">
        <f t="shared" si="93"/>
        <v>5638633.1600000001</v>
      </c>
      <c r="L231" s="1741">
        <f t="shared" si="93"/>
        <v>47490.28</v>
      </c>
    </row>
    <row r="232" spans="1:12" ht="15" customHeight="1" thickBot="1" x14ac:dyDescent="0.25">
      <c r="D232" s="1391" t="s">
        <v>1494</v>
      </c>
      <c r="E232" s="1397"/>
      <c r="F232" s="1397"/>
      <c r="G232" s="1397"/>
      <c r="H232" s="1397"/>
      <c r="I232" s="1397"/>
      <c r="J232" s="1397"/>
      <c r="K232" s="1397"/>
      <c r="L232" s="1397"/>
    </row>
    <row r="233" spans="1:12" ht="19.5" customHeight="1" thickBot="1" x14ac:dyDescent="0.25">
      <c r="C233" s="1445" t="s">
        <v>1074</v>
      </c>
      <c r="D233" s="1445" t="s">
        <v>1509</v>
      </c>
      <c r="E233" s="1447">
        <f>E235+E236+E237+E238+E239+E242</f>
        <v>65756740.579999998</v>
      </c>
      <c r="F233" s="1447">
        <f t="shared" ref="F233:L233" si="94">F235+F236+F237+F238+F239+F242</f>
        <v>9622718.9400000013</v>
      </c>
      <c r="G233" s="1728">
        <f t="shared" si="94"/>
        <v>75379459.519999996</v>
      </c>
      <c r="H233" s="1729">
        <f t="shared" si="94"/>
        <v>75216760.859999999</v>
      </c>
      <c r="I233" s="1446">
        <f>H233/G233</f>
        <v>0.99784160484784545</v>
      </c>
      <c r="J233" s="1447">
        <f t="shared" si="94"/>
        <v>6375908.6900000004</v>
      </c>
      <c r="K233" s="1447">
        <f t="shared" si="94"/>
        <v>5623730.8499999996</v>
      </c>
      <c r="L233" s="1447">
        <f t="shared" si="94"/>
        <v>47490.28</v>
      </c>
    </row>
    <row r="234" spans="1:12" x14ac:dyDescent="0.2">
      <c r="C234" s="1395"/>
      <c r="D234" s="1423" t="s">
        <v>1252</v>
      </c>
      <c r="E234" s="1424"/>
      <c r="F234" s="1424"/>
      <c r="G234" s="1424"/>
      <c r="H234" s="1424"/>
      <c r="I234" s="1425"/>
      <c r="J234" s="1424"/>
      <c r="K234" s="1424"/>
      <c r="L234" s="1424"/>
    </row>
    <row r="235" spans="1:12" ht="22.5" x14ac:dyDescent="0.2">
      <c r="C235" s="1400" t="s">
        <v>1492</v>
      </c>
      <c r="D235" s="1401" t="s">
        <v>1508</v>
      </c>
      <c r="E235" s="1402">
        <f>E94</f>
        <v>9801438</v>
      </c>
      <c r="F235" s="1410">
        <f t="shared" ref="F235:L235" si="95">F94</f>
        <v>-4096</v>
      </c>
      <c r="G235" s="1412" t="str">
        <f t="shared" si="95"/>
        <v>9 797 342,00</v>
      </c>
      <c r="H235" s="1412">
        <f t="shared" si="95"/>
        <v>10019713</v>
      </c>
      <c r="I235" s="1411">
        <f>H235/G235</f>
        <v>1.0226970743697628</v>
      </c>
      <c r="J235" s="1402">
        <f t="shared" si="95"/>
        <v>0</v>
      </c>
      <c r="K235" s="1402">
        <f t="shared" si="95"/>
        <v>0</v>
      </c>
      <c r="L235" s="1402">
        <f t="shared" si="95"/>
        <v>0</v>
      </c>
    </row>
    <row r="236" spans="1:12" ht="22.5" x14ac:dyDescent="0.2">
      <c r="C236" s="1400" t="s">
        <v>1497</v>
      </c>
      <c r="D236" s="1401" t="s">
        <v>1510</v>
      </c>
      <c r="E236" s="1402">
        <f>E95</f>
        <v>1200000</v>
      </c>
      <c r="F236" s="1410">
        <f t="shared" ref="F236:L236" si="96">F95</f>
        <v>420000</v>
      </c>
      <c r="G236" s="1412" t="str">
        <f t="shared" si="96"/>
        <v>1 620 000,00</v>
      </c>
      <c r="H236" s="1412">
        <f t="shared" si="96"/>
        <v>1767452.33</v>
      </c>
      <c r="I236" s="1411">
        <f t="shared" ref="I236:I242" si="97">H236/G236</f>
        <v>1.0910199567901235</v>
      </c>
      <c r="J236" s="1402">
        <f t="shared" si="96"/>
        <v>-101.17</v>
      </c>
      <c r="K236" s="1402">
        <f t="shared" si="96"/>
        <v>0</v>
      </c>
      <c r="L236" s="1402">
        <f t="shared" si="96"/>
        <v>0</v>
      </c>
    </row>
    <row r="237" spans="1:12" x14ac:dyDescent="0.2">
      <c r="C237" s="1400" t="s">
        <v>1499</v>
      </c>
      <c r="D237" s="1401" t="s">
        <v>1511</v>
      </c>
      <c r="E237" s="1402">
        <f>E215+E210+E209+E208+E192+E126+E125+E116+E104+E91+E90+E89+E88+E85+E84+E83+E82+E81+E80+E79+E78+E77+E73+E72+E71+E70+E69+E68+E65+E47+E28+E27+E26+E22+E20+E15+E103</f>
        <v>13846988.670000002</v>
      </c>
      <c r="F237" s="1410">
        <f t="shared" ref="F237:L237" si="98">F215+F210+F209+F208+F192+F126+F125+F116+F104+F91+F90+F89+F88+F85+F84+F83+F82+F81+F80+F79+F78+F77+F73+F72+F71+F70+F69+F68+F65+F47+F28+F27+F26+F22+F20+F15+F103</f>
        <v>-369400</v>
      </c>
      <c r="G237" s="1412">
        <f t="shared" si="98"/>
        <v>13477588.670000002</v>
      </c>
      <c r="H237" s="1412">
        <f t="shared" si="98"/>
        <v>13428629.599999998</v>
      </c>
      <c r="I237" s="1411">
        <f t="shared" si="97"/>
        <v>0.99636737170136502</v>
      </c>
      <c r="J237" s="1402">
        <f t="shared" si="98"/>
        <v>2816595.91</v>
      </c>
      <c r="K237" s="1402">
        <f t="shared" si="98"/>
        <v>2673654.44</v>
      </c>
      <c r="L237" s="1402">
        <f t="shared" si="98"/>
        <v>46454.92</v>
      </c>
    </row>
    <row r="238" spans="1:12" x14ac:dyDescent="0.2">
      <c r="C238" s="1400" t="s">
        <v>1501</v>
      </c>
      <c r="D238" s="1401" t="s">
        <v>1512</v>
      </c>
      <c r="E238" s="1402">
        <f>E112+E100+E98</f>
        <v>18060958</v>
      </c>
      <c r="F238" s="1410">
        <f t="shared" ref="F238:L238" si="99">F112+F100+F98</f>
        <v>-35288</v>
      </c>
      <c r="G238" s="1412">
        <f t="shared" si="99"/>
        <v>18025670</v>
      </c>
      <c r="H238" s="1412">
        <f t="shared" si="99"/>
        <v>18025670</v>
      </c>
      <c r="I238" s="1411">
        <f t="shared" si="97"/>
        <v>1</v>
      </c>
      <c r="J238" s="1402">
        <f t="shared" si="99"/>
        <v>0</v>
      </c>
      <c r="K238" s="1402">
        <f t="shared" si="99"/>
        <v>0</v>
      </c>
      <c r="L238" s="1402">
        <f t="shared" si="99"/>
        <v>0</v>
      </c>
    </row>
    <row r="239" spans="1:12" x14ac:dyDescent="0.2">
      <c r="C239" s="1400" t="s">
        <v>1503</v>
      </c>
      <c r="D239" s="1401" t="s">
        <v>1513</v>
      </c>
      <c r="E239" s="1402">
        <f>E205+E203+E202+E199+E194+E188+E184+E183+E180+E179+E178+E175+E173+E170+E167+E163+E159+E154+E153+E145+E144+E142+E143+E139+E137+E134+E129+E123+E121+E120+E108+E58+E55+E43+E40+E37+E36+E12+E161+E130</f>
        <v>21317042</v>
      </c>
      <c r="F239" s="1410">
        <f t="shared" ref="F239:L239" si="100">F205+F203+F202+F199+F194+F188+F184+F183+F180+F179+F178+F175+F173+F170+F167+F163+F159+F154+F153+F145+F144+F142+F143+F139+F137+F134+F129+F123+F121+F120+F108+F58+F55+F43+F40+F37+F36+F12+F161+F130</f>
        <v>6561761.8300000019</v>
      </c>
      <c r="G239" s="1412">
        <f t="shared" si="100"/>
        <v>27878803.829999994</v>
      </c>
      <c r="H239" s="1412">
        <f t="shared" si="100"/>
        <v>27256384.020000007</v>
      </c>
      <c r="I239" s="1411">
        <f t="shared" si="97"/>
        <v>0.97767408480667273</v>
      </c>
      <c r="J239" s="1402">
        <f t="shared" si="100"/>
        <v>80.16</v>
      </c>
      <c r="K239" s="1402">
        <f t="shared" si="100"/>
        <v>0</v>
      </c>
      <c r="L239" s="1402">
        <f t="shared" si="100"/>
        <v>0</v>
      </c>
    </row>
    <row r="240" spans="1:12" x14ac:dyDescent="0.2">
      <c r="C240" s="1393"/>
      <c r="D240" s="1398" t="s">
        <v>1252</v>
      </c>
      <c r="E240" s="1399"/>
      <c r="F240" s="1399"/>
      <c r="G240" s="1399"/>
      <c r="H240" s="1399"/>
      <c r="I240" s="1408"/>
      <c r="J240" s="1399"/>
      <c r="K240" s="1399"/>
      <c r="L240" s="1399"/>
    </row>
    <row r="241" spans="3:12" ht="45" x14ac:dyDescent="0.2">
      <c r="C241" s="1393"/>
      <c r="D241" s="1392" t="s">
        <v>1520</v>
      </c>
      <c r="E241" s="1396">
        <f>E180+E179+E178+E145+E144+E143+E142+E37+E36</f>
        <v>0</v>
      </c>
      <c r="F241" s="1413">
        <f t="shared" ref="F241:L241" si="101">F180+F179+F178+F145+F144+F143+F142+F37+F36</f>
        <v>1421956.0900000003</v>
      </c>
      <c r="G241" s="1415">
        <f t="shared" si="101"/>
        <v>1421956.0900000003</v>
      </c>
      <c r="H241" s="1415">
        <f t="shared" si="101"/>
        <v>1185107.75</v>
      </c>
      <c r="I241" s="1414">
        <f t="shared" si="97"/>
        <v>0.83343484256254341</v>
      </c>
      <c r="J241" s="1396">
        <f t="shared" si="101"/>
        <v>0</v>
      </c>
      <c r="K241" s="1396">
        <f t="shared" si="101"/>
        <v>0</v>
      </c>
      <c r="L241" s="1396">
        <f t="shared" si="101"/>
        <v>0</v>
      </c>
    </row>
    <row r="242" spans="3:12" ht="13.5" thickBot="1" x14ac:dyDescent="0.25">
      <c r="C242" s="1400" t="s">
        <v>1514</v>
      </c>
      <c r="D242" s="1418" t="s">
        <v>1515</v>
      </c>
      <c r="E242" s="1419">
        <f>E229+E228+E226+E223+E222+E221+E218+E217+E214+E212+E200+E197+E196+E195+E193+E190+E189+E187+E171+E169+E165+E164+E158+E156+E155+E141+E136+E132+E128+E127+E119+E117+E115+E107+E106+E105+E102+E86+E75+E74+E66+E62+E61+E52+E51+E49+E46+E44+E35+E34+E32+E29+E23+E21+E18+E11+E10+E230+E211+E92+E150</f>
        <v>1530313.9100000001</v>
      </c>
      <c r="F242" s="1419">
        <f t="shared" ref="F242:L242" si="102">F229+F228+F226+F223+F222+F221+F218+F217+F214+F212+F200+F197+F196+F195+F193+F190+F189+F187+F171+F169+F165+F164+F158+F156+F155+F141+F136+F132+F128+F127+F119+F117+F115+F107+F106+F105+F102+F86+F75+F74+F66+F62+F61+F52+F51+F49+F46+F44+F35+F34+F32+F29+F23+F21+F18+F11+F10+F230+F211+F92+F150</f>
        <v>3049741.11</v>
      </c>
      <c r="G242" s="1419">
        <f t="shared" si="102"/>
        <v>4580055.0199999996</v>
      </c>
      <c r="H242" s="1419">
        <f t="shared" si="102"/>
        <v>4718911.91</v>
      </c>
      <c r="I242" s="1414">
        <f t="shared" si="97"/>
        <v>1.0303177340432912</v>
      </c>
      <c r="J242" s="1419">
        <f t="shared" si="102"/>
        <v>3559333.79</v>
      </c>
      <c r="K242" s="1419">
        <f t="shared" si="102"/>
        <v>2950076.4099999997</v>
      </c>
      <c r="L242" s="1419">
        <f t="shared" si="102"/>
        <v>1035.3600000000001</v>
      </c>
    </row>
    <row r="243" spans="3:12" ht="18.75" customHeight="1" thickBot="1" x14ac:dyDescent="0.25">
      <c r="C243" s="1448" t="s">
        <v>1061</v>
      </c>
      <c r="D243" s="1449" t="s">
        <v>1516</v>
      </c>
      <c r="E243" s="1745">
        <f>E245+E246+E247+E248</f>
        <v>1006000</v>
      </c>
      <c r="F243" s="1746">
        <f t="shared" ref="F243:L243" si="103">F245+F246+F247+F248</f>
        <v>135671.64000000001</v>
      </c>
      <c r="G243" s="1747">
        <f t="shared" si="103"/>
        <v>1141671.6400000001</v>
      </c>
      <c r="H243" s="1747">
        <f t="shared" si="103"/>
        <v>1203173.3400000001</v>
      </c>
      <c r="I243" s="1748">
        <f>H243/G243</f>
        <v>1.0538698675216283</v>
      </c>
      <c r="J243" s="1745">
        <f t="shared" si="103"/>
        <v>14902.31</v>
      </c>
      <c r="K243" s="1745">
        <f t="shared" si="103"/>
        <v>14902.31</v>
      </c>
      <c r="L243" s="1745">
        <f t="shared" si="103"/>
        <v>0</v>
      </c>
    </row>
    <row r="244" spans="3:12" x14ac:dyDescent="0.2">
      <c r="C244" s="1394"/>
      <c r="D244" s="1420" t="s">
        <v>1252</v>
      </c>
      <c r="E244" s="1421"/>
      <c r="F244" s="1421"/>
      <c r="G244" s="1421"/>
      <c r="H244" s="1421"/>
      <c r="I244" s="1422"/>
      <c r="J244" s="1421"/>
      <c r="K244" s="1421"/>
      <c r="L244" s="1421"/>
    </row>
    <row r="245" spans="3:12" x14ac:dyDescent="0.2">
      <c r="C245" s="1400" t="s">
        <v>1492</v>
      </c>
      <c r="D245" s="1401" t="s">
        <v>1517</v>
      </c>
      <c r="E245" s="1406">
        <f>E118+E54+E48+E33+E31+E133</f>
        <v>1000000</v>
      </c>
      <c r="F245" s="1416">
        <f t="shared" ref="F245:L245" si="104">F118+F54+F48+F33+F31+F133</f>
        <v>0</v>
      </c>
      <c r="G245" s="1417">
        <f t="shared" si="104"/>
        <v>1000000</v>
      </c>
      <c r="H245" s="1417">
        <f t="shared" si="104"/>
        <v>1061241.82</v>
      </c>
      <c r="I245" s="1414">
        <f>H245/G245</f>
        <v>1.06124182</v>
      </c>
      <c r="J245" s="1406">
        <f t="shared" si="104"/>
        <v>14691.18</v>
      </c>
      <c r="K245" s="1406">
        <f t="shared" si="104"/>
        <v>14691.18</v>
      </c>
      <c r="L245" s="1406">
        <f t="shared" si="104"/>
        <v>0</v>
      </c>
    </row>
    <row r="246" spans="3:12" ht="33.75" x14ac:dyDescent="0.2">
      <c r="C246" s="1400" t="s">
        <v>1497</v>
      </c>
      <c r="D246" s="1401" t="s">
        <v>1518</v>
      </c>
      <c r="E246" s="1406">
        <f>E30</f>
        <v>6000</v>
      </c>
      <c r="F246" s="1416">
        <f>F30</f>
        <v>0</v>
      </c>
      <c r="G246" s="1417" t="str">
        <f>G30</f>
        <v>6 000,00</v>
      </c>
      <c r="H246" s="1417">
        <f>H30</f>
        <v>3801.81</v>
      </c>
      <c r="I246" s="1414">
        <f t="shared" ref="I246:I248" si="105">H246/G246</f>
        <v>0.63363499999999995</v>
      </c>
      <c r="J246" s="1406">
        <f>J30</f>
        <v>211.13</v>
      </c>
      <c r="K246" s="1406">
        <f>K30</f>
        <v>211.13</v>
      </c>
      <c r="L246" s="1409"/>
    </row>
    <row r="247" spans="3:12" ht="45" x14ac:dyDescent="0.2">
      <c r="C247" s="1400" t="s">
        <v>1499</v>
      </c>
      <c r="D247" s="1401" t="s">
        <v>1477</v>
      </c>
      <c r="E247" s="1406">
        <f>E110</f>
        <v>0</v>
      </c>
      <c r="F247" s="1416">
        <f>F110</f>
        <v>0</v>
      </c>
      <c r="G247" s="1417">
        <f>G110</f>
        <v>0</v>
      </c>
      <c r="H247" s="1417">
        <f>H110</f>
        <v>3648.31</v>
      </c>
      <c r="I247" s="1414">
        <v>0</v>
      </c>
      <c r="J247" s="1406">
        <f>J110</f>
        <v>0</v>
      </c>
      <c r="K247" s="1406">
        <f>K110</f>
        <v>0</v>
      </c>
      <c r="L247" s="1406">
        <f>L110</f>
        <v>0</v>
      </c>
    </row>
    <row r="248" spans="3:12" x14ac:dyDescent="0.2">
      <c r="C248" s="1400" t="s">
        <v>1501</v>
      </c>
      <c r="D248" s="1401" t="s">
        <v>1519</v>
      </c>
      <c r="E248" s="1406">
        <f>E147+E146+E109+E8</f>
        <v>0</v>
      </c>
      <c r="F248" s="1416">
        <f>F147+F146+F109+F8</f>
        <v>135671.64000000001</v>
      </c>
      <c r="G248" s="1417">
        <f>G147+G146+G109+G8</f>
        <v>135671.64000000001</v>
      </c>
      <c r="H248" s="1417">
        <f>H147+H146+H109+H8</f>
        <v>134481.4</v>
      </c>
      <c r="I248" s="1414">
        <f t="shared" si="105"/>
        <v>0.99122705378957587</v>
      </c>
      <c r="J248" s="1406">
        <f>J147+J146+J109+J8</f>
        <v>0</v>
      </c>
      <c r="K248" s="1406">
        <f>K147+K146+K109+K8</f>
        <v>0</v>
      </c>
      <c r="L248" s="1406">
        <f>L147+L146+L109+L8</f>
        <v>0</v>
      </c>
    </row>
    <row r="249" spans="3:12" x14ac:dyDescent="0.2">
      <c r="C249" s="1400"/>
      <c r="D249" s="1404" t="s">
        <v>1252</v>
      </c>
      <c r="E249" s="1405"/>
      <c r="F249" s="1405"/>
      <c r="G249" s="1405"/>
      <c r="H249" s="1405"/>
      <c r="I249" s="1407"/>
      <c r="J249" s="1405"/>
      <c r="K249" s="1405"/>
      <c r="L249" s="1405"/>
    </row>
    <row r="250" spans="3:12" ht="45" x14ac:dyDescent="0.2">
      <c r="C250" s="1403"/>
      <c r="D250" s="1401" t="s">
        <v>1521</v>
      </c>
      <c r="E250" s="1406">
        <f>E147+E146</f>
        <v>0</v>
      </c>
      <c r="F250" s="1416">
        <f>F147+F146</f>
        <v>11400</v>
      </c>
      <c r="G250" s="1417">
        <f>G147+G146</f>
        <v>11400</v>
      </c>
      <c r="H250" s="1417">
        <f>H147+H146</f>
        <v>10209.76</v>
      </c>
      <c r="I250" s="1414">
        <f>H250/G250</f>
        <v>0.89559298245614039</v>
      </c>
      <c r="J250" s="1406">
        <f>J147+J146</f>
        <v>0</v>
      </c>
      <c r="K250" s="1406">
        <f>K147+K146</f>
        <v>0</v>
      </c>
      <c r="L250" s="1406">
        <f>L147+L146</f>
        <v>0</v>
      </c>
    </row>
    <row r="251" spans="3:12" x14ac:dyDescent="0.2">
      <c r="C251" s="1390"/>
      <c r="D251" s="1388"/>
      <c r="E251" s="1387"/>
      <c r="F251" s="1387"/>
      <c r="G251" s="1387"/>
      <c r="H251" s="1387"/>
      <c r="I251" s="1387"/>
      <c r="J251" s="1387"/>
      <c r="K251" s="1387"/>
      <c r="L251" s="1387"/>
    </row>
    <row r="252" spans="3:12" x14ac:dyDescent="0.2">
      <c r="C252" s="1390"/>
      <c r="D252" s="1388"/>
      <c r="E252" s="1387"/>
      <c r="F252" s="1387"/>
      <c r="G252" s="1387"/>
      <c r="H252" s="1387"/>
      <c r="I252" s="1387"/>
      <c r="J252" s="1387"/>
      <c r="K252" s="1387"/>
      <c r="L252" s="1387"/>
    </row>
    <row r="253" spans="3:12" x14ac:dyDescent="0.2">
      <c r="C253" s="1390"/>
      <c r="D253" s="1388"/>
      <c r="E253" s="1387"/>
      <c r="F253" s="1387"/>
      <c r="G253" s="1387"/>
      <c r="H253" s="1387"/>
      <c r="I253" s="1387"/>
      <c r="J253" s="1387"/>
      <c r="K253" s="1387"/>
      <c r="L253" s="1387"/>
    </row>
    <row r="254" spans="3:12" x14ac:dyDescent="0.2">
      <c r="C254" s="1390"/>
      <c r="D254" s="1388"/>
      <c r="E254" s="1387"/>
      <c r="F254" s="1387"/>
      <c r="G254" s="1387"/>
      <c r="H254" s="1387"/>
      <c r="I254" s="1387"/>
      <c r="J254" s="1387"/>
      <c r="K254" s="1387"/>
      <c r="L254" s="1387"/>
    </row>
    <row r="255" spans="3:12" x14ac:dyDescent="0.2">
      <c r="C255" s="1390"/>
      <c r="D255" s="1388"/>
      <c r="E255" s="1387"/>
      <c r="F255" s="1387"/>
      <c r="G255" s="1387"/>
      <c r="H255" s="1387"/>
      <c r="I255" s="1387"/>
      <c r="J255" s="1387"/>
      <c r="K255" s="1387"/>
      <c r="L255" s="1387"/>
    </row>
    <row r="256" spans="3:12" x14ac:dyDescent="0.2">
      <c r="C256" s="1390"/>
      <c r="D256" s="1388"/>
      <c r="E256" s="1387"/>
      <c r="F256" s="1387"/>
      <c r="G256" s="1387"/>
      <c r="H256" s="1387"/>
      <c r="I256" s="1387"/>
      <c r="J256" s="1387"/>
      <c r="K256" s="1387"/>
      <c r="L256" s="1387"/>
    </row>
    <row r="257" spans="3:12" x14ac:dyDescent="0.2">
      <c r="C257" s="1390"/>
      <c r="D257" s="1388"/>
      <c r="E257" s="1387"/>
      <c r="F257" s="1387"/>
      <c r="G257" s="1387"/>
      <c r="H257" s="1387"/>
      <c r="I257" s="1387"/>
      <c r="J257" s="1387"/>
      <c r="K257" s="1387"/>
      <c r="L257" s="1387"/>
    </row>
    <row r="258" spans="3:12" x14ac:dyDescent="0.2">
      <c r="C258" s="1390"/>
      <c r="D258" s="1388"/>
      <c r="E258" s="1385"/>
      <c r="F258" s="1385"/>
      <c r="G258" s="1385"/>
      <c r="H258" s="1385"/>
      <c r="I258" s="1385"/>
      <c r="J258" s="1385"/>
      <c r="K258" s="1385"/>
      <c r="L258" s="1385"/>
    </row>
    <row r="259" spans="3:12" x14ac:dyDescent="0.2">
      <c r="C259" s="1386"/>
      <c r="D259" s="1389"/>
      <c r="E259" s="1385"/>
      <c r="F259" s="1385"/>
      <c r="G259" s="1385"/>
      <c r="H259" s="1385"/>
      <c r="I259" s="1385"/>
      <c r="J259" s="1385"/>
      <c r="K259" s="1385"/>
      <c r="L259" s="1385"/>
    </row>
    <row r="260" spans="3:12" x14ac:dyDescent="0.2">
      <c r="C260" s="1386"/>
      <c r="D260" s="1385"/>
      <c r="E260" s="1385"/>
      <c r="F260" s="1385"/>
      <c r="G260" s="1385"/>
      <c r="H260" s="1385"/>
      <c r="I260" s="1385"/>
      <c r="J260" s="1385"/>
      <c r="K260" s="1385"/>
      <c r="L260" s="1385"/>
    </row>
    <row r="261" spans="3:12" x14ac:dyDescent="0.2">
      <c r="C261" s="1386"/>
      <c r="D261" s="1385"/>
      <c r="E261" s="1385"/>
      <c r="F261" s="1385"/>
      <c r="G261" s="1385"/>
      <c r="H261" s="1385"/>
      <c r="I261" s="1385"/>
      <c r="J261" s="1385"/>
      <c r="K261" s="1385"/>
      <c r="L261" s="1385"/>
    </row>
    <row r="262" spans="3:12" x14ac:dyDescent="0.2">
      <c r="C262" s="1385"/>
      <c r="D262" s="1385"/>
      <c r="E262" s="1385"/>
      <c r="F262" s="1385"/>
      <c r="G262" s="1385"/>
      <c r="H262" s="1385"/>
      <c r="I262" s="1385"/>
      <c r="J262" s="1385"/>
      <c r="K262" s="1385"/>
      <c r="L262" s="1385"/>
    </row>
    <row r="263" spans="3:12" x14ac:dyDescent="0.2">
      <c r="C263" s="1385"/>
      <c r="D263" s="1385"/>
      <c r="E263" s="1385"/>
      <c r="F263" s="1385"/>
      <c r="G263" s="1385"/>
      <c r="H263" s="1385"/>
      <c r="I263" s="1385"/>
      <c r="J263" s="1385"/>
      <c r="K263" s="1385"/>
      <c r="L263" s="1385"/>
    </row>
    <row r="264" spans="3:12" x14ac:dyDescent="0.2">
      <c r="C264" s="1385"/>
      <c r="D264" s="1385"/>
      <c r="E264" s="1385"/>
      <c r="F264" s="1385"/>
      <c r="G264" s="1385"/>
      <c r="H264" s="1385"/>
      <c r="I264" s="1385"/>
      <c r="J264" s="1385"/>
      <c r="K264" s="1385"/>
      <c r="L264" s="1385"/>
    </row>
    <row r="265" spans="3:12" x14ac:dyDescent="0.2">
      <c r="C265" s="1385"/>
      <c r="D265" s="1385"/>
      <c r="E265" s="1385"/>
      <c r="F265" s="1385"/>
      <c r="G265" s="1385"/>
      <c r="H265" s="1385"/>
      <c r="I265" s="1385"/>
      <c r="J265" s="1385"/>
      <c r="K265" s="1385"/>
      <c r="L265" s="1385"/>
    </row>
    <row r="266" spans="3:12" x14ac:dyDescent="0.2">
      <c r="C266" s="1385"/>
      <c r="D266" s="1385"/>
      <c r="E266" s="1385"/>
      <c r="F266" s="1385"/>
      <c r="G266" s="1385"/>
      <c r="H266" s="1385"/>
      <c r="I266" s="1385"/>
      <c r="J266" s="1385"/>
      <c r="K266" s="1385"/>
      <c r="L266" s="1385"/>
    </row>
    <row r="267" spans="3:12" x14ac:dyDescent="0.2">
      <c r="C267" s="1385"/>
      <c r="D267" s="1385"/>
      <c r="E267" s="1385"/>
      <c r="F267" s="1385"/>
      <c r="G267" s="1385"/>
      <c r="H267" s="1385"/>
      <c r="I267" s="1385"/>
      <c r="J267" s="1385"/>
      <c r="K267" s="1385"/>
      <c r="L267" s="1385"/>
    </row>
    <row r="268" spans="3:12" x14ac:dyDescent="0.2">
      <c r="C268" s="1385"/>
      <c r="D268" s="1385"/>
      <c r="E268" s="1385"/>
      <c r="F268" s="1385"/>
      <c r="G268" s="1385"/>
      <c r="H268" s="1385"/>
      <c r="I268" s="1385"/>
      <c r="J268" s="1385"/>
      <c r="K268" s="1385"/>
      <c r="L268" s="1385"/>
    </row>
    <row r="269" spans="3:12" x14ac:dyDescent="0.2">
      <c r="C269" s="1385"/>
      <c r="D269" s="1385"/>
      <c r="E269" s="1385"/>
      <c r="F269" s="1385"/>
      <c r="G269" s="1385"/>
      <c r="H269" s="1385"/>
      <c r="I269" s="1385"/>
      <c r="J269" s="1385"/>
      <c r="K269" s="1385"/>
      <c r="L269" s="1385"/>
    </row>
  </sheetData>
  <mergeCells count="13">
    <mergeCell ref="H4:H5"/>
    <mergeCell ref="I4:I5"/>
    <mergeCell ref="J4:L4"/>
    <mergeCell ref="I1:L1"/>
    <mergeCell ref="A3:L3"/>
    <mergeCell ref="E4:E5"/>
    <mergeCell ref="F4:F5"/>
    <mergeCell ref="G4:G5"/>
    <mergeCell ref="A231:D231"/>
    <mergeCell ref="A4:A5"/>
    <mergeCell ref="B4:B5"/>
    <mergeCell ref="C4:C5"/>
    <mergeCell ref="D4:D5"/>
  </mergeCells>
  <pageMargins left="0.19685039370078741" right="0" top="0.78740157480314965" bottom="0.39370078740157483" header="0.31496062992125984" footer="0.19685039370078741"/>
  <pageSetup paperSize="9" orientation="landscape" r:id="rId1"/>
  <headerFooter>
    <oddFooter>Strona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"/>
  <sheetViews>
    <sheetView topLeftCell="A22" workbookViewId="0">
      <selection activeCell="F24" sqref="F24"/>
    </sheetView>
  </sheetViews>
  <sheetFormatPr defaultRowHeight="12.75" x14ac:dyDescent="0.2"/>
  <cols>
    <col min="1" max="1" width="4.7109375" style="213" customWidth="1"/>
    <col min="2" max="2" width="7.5703125" style="213" customWidth="1"/>
    <col min="3" max="3" width="7.7109375" style="213" customWidth="1"/>
    <col min="4" max="4" width="35.7109375" style="213" customWidth="1"/>
    <col min="5" max="5" width="11.85546875" style="213" customWidth="1"/>
    <col min="6" max="6" width="11.140625" style="213" customWidth="1"/>
    <col min="7" max="7" width="10" style="213" customWidth="1"/>
    <col min="8" max="16384" width="9.140625" style="213"/>
  </cols>
  <sheetData>
    <row r="1" spans="1:7" ht="15" customHeight="1" x14ac:dyDescent="0.2">
      <c r="D1" s="2011" t="s">
        <v>1449</v>
      </c>
      <c r="E1" s="2011"/>
      <c r="F1" s="2011"/>
      <c r="G1" s="2011"/>
    </row>
    <row r="2" spans="1:7" x14ac:dyDescent="0.2">
      <c r="D2" s="2015"/>
      <c r="E2" s="2015"/>
      <c r="F2" s="2015"/>
      <c r="G2" s="2015"/>
    </row>
    <row r="3" spans="1:7" ht="30.75" customHeight="1" x14ac:dyDescent="0.2">
      <c r="A3" s="2016" t="s">
        <v>1448</v>
      </c>
      <c r="B3" s="2016"/>
      <c r="C3" s="2016"/>
      <c r="D3" s="2016"/>
      <c r="E3" s="2016"/>
      <c r="F3" s="2016"/>
      <c r="G3" s="2016"/>
    </row>
    <row r="4" spans="1:7" ht="25.5" customHeight="1" x14ac:dyDescent="0.2">
      <c r="A4" s="2017" t="s">
        <v>1093</v>
      </c>
      <c r="B4" s="2017"/>
      <c r="C4" s="2017"/>
      <c r="D4" s="2017"/>
      <c r="E4" s="215"/>
      <c r="F4" s="215"/>
      <c r="G4" s="215"/>
    </row>
    <row r="5" spans="1:7" ht="28.5" customHeight="1" x14ac:dyDescent="0.2">
      <c r="A5" s="216" t="s">
        <v>0</v>
      </c>
      <c r="B5" s="216" t="s">
        <v>1</v>
      </c>
      <c r="C5" s="216" t="s">
        <v>2</v>
      </c>
      <c r="D5" s="217" t="s">
        <v>3</v>
      </c>
      <c r="E5" s="218" t="s">
        <v>1094</v>
      </c>
      <c r="F5" s="217" t="s">
        <v>1362</v>
      </c>
      <c r="G5" s="1026" t="s">
        <v>1357</v>
      </c>
    </row>
    <row r="6" spans="1:7" ht="24" x14ac:dyDescent="0.2">
      <c r="A6" s="219">
        <v>900</v>
      </c>
      <c r="B6" s="220"/>
      <c r="C6" s="221"/>
      <c r="D6" s="1689" t="s">
        <v>309</v>
      </c>
      <c r="E6" s="222">
        <f>E7</f>
        <v>300000</v>
      </c>
      <c r="F6" s="222">
        <f t="shared" ref="F6" si="0">F7</f>
        <v>54339.86</v>
      </c>
      <c r="G6" s="1033">
        <f>F6/E6</f>
        <v>0.18113286666666667</v>
      </c>
    </row>
    <row r="7" spans="1:7" ht="36" x14ac:dyDescent="0.2">
      <c r="A7" s="223"/>
      <c r="B7" s="224">
        <v>90019</v>
      </c>
      <c r="C7" s="224"/>
      <c r="D7" s="225" t="s">
        <v>314</v>
      </c>
      <c r="E7" s="226">
        <f>E9+E8</f>
        <v>300000</v>
      </c>
      <c r="F7" s="226">
        <f>F9+F8</f>
        <v>54339.86</v>
      </c>
      <c r="G7" s="1034">
        <f>F7/E7</f>
        <v>0.18113286666666667</v>
      </c>
    </row>
    <row r="8" spans="1:7" x14ac:dyDescent="0.2">
      <c r="A8" s="223"/>
      <c r="B8" s="1037"/>
      <c r="C8" s="1041" t="s">
        <v>77</v>
      </c>
      <c r="D8" s="1038"/>
      <c r="E8" s="1039">
        <v>0</v>
      </c>
      <c r="F8" s="1039">
        <v>7000</v>
      </c>
      <c r="G8" s="1040">
        <v>0</v>
      </c>
    </row>
    <row r="9" spans="1:7" x14ac:dyDescent="0.2">
      <c r="A9" s="227"/>
      <c r="B9" s="228"/>
      <c r="C9" s="229" t="s">
        <v>25</v>
      </c>
      <c r="D9" s="230" t="s">
        <v>26</v>
      </c>
      <c r="E9" s="231">
        <v>300000</v>
      </c>
      <c r="F9" s="1042">
        <v>47339.86</v>
      </c>
      <c r="G9" s="1035">
        <f>F9/E9</f>
        <v>0.15779953333333332</v>
      </c>
    </row>
    <row r="10" spans="1:7" ht="27" customHeight="1" x14ac:dyDescent="0.25">
      <c r="A10" s="227"/>
      <c r="B10" s="232"/>
      <c r="C10" s="233"/>
      <c r="D10" s="234" t="s">
        <v>1083</v>
      </c>
      <c r="E10" s="235">
        <f>E6</f>
        <v>300000</v>
      </c>
      <c r="F10" s="235">
        <f t="shared" ref="F10" si="1">F6</f>
        <v>54339.86</v>
      </c>
      <c r="G10" s="1036">
        <f>F10/E10</f>
        <v>0.18113286666666667</v>
      </c>
    </row>
    <row r="11" spans="1:7" ht="25.5" customHeight="1" x14ac:dyDescent="0.2">
      <c r="A11" s="2018" t="s">
        <v>1095</v>
      </c>
      <c r="B11" s="2018"/>
      <c r="C11" s="2018"/>
      <c r="D11" s="2018"/>
      <c r="E11" s="236"/>
      <c r="F11" s="236"/>
      <c r="G11" s="236"/>
    </row>
    <row r="12" spans="1:7" ht="27" customHeight="1" x14ac:dyDescent="0.2">
      <c r="A12" s="237" t="s">
        <v>0</v>
      </c>
      <c r="B12" s="238" t="s">
        <v>1</v>
      </c>
      <c r="C12" s="238" t="s">
        <v>2</v>
      </c>
      <c r="D12" s="217" t="s">
        <v>3</v>
      </c>
      <c r="E12" s="218" t="s">
        <v>1094</v>
      </c>
      <c r="F12" s="217" t="s">
        <v>1362</v>
      </c>
      <c r="G12" s="1026" t="s">
        <v>1357</v>
      </c>
    </row>
    <row r="13" spans="1:7" ht="25.5" x14ac:dyDescent="0.2">
      <c r="A13" s="219">
        <v>900</v>
      </c>
      <c r="B13" s="220"/>
      <c r="C13" s="221"/>
      <c r="D13" s="239" t="s">
        <v>309</v>
      </c>
      <c r="E13" s="240">
        <f>E14+E20+E24+E29+E31+E27</f>
        <v>570000</v>
      </c>
      <c r="F13" s="240">
        <f t="shared" ref="F13" si="2">F14+F20+F24+F29+F31+F27</f>
        <v>483222.29000000004</v>
      </c>
      <c r="G13" s="1027">
        <f>F13/E13</f>
        <v>0.84775840350877196</v>
      </c>
    </row>
    <row r="14" spans="1:7" ht="24" x14ac:dyDescent="0.2">
      <c r="A14" s="241"/>
      <c r="B14" s="224">
        <v>90001</v>
      </c>
      <c r="C14" s="224"/>
      <c r="D14" s="242" t="s">
        <v>1096</v>
      </c>
      <c r="E14" s="243">
        <f>E17+E18+E15+E16+E19</f>
        <v>353810</v>
      </c>
      <c r="F14" s="243">
        <f t="shared" ref="F14" si="3">F17+F18+F15+F16+F19</f>
        <v>333904.64000000001</v>
      </c>
      <c r="G14" s="1028">
        <f>F14/E14</f>
        <v>0.94373997343206806</v>
      </c>
    </row>
    <row r="15" spans="1:7" ht="48" x14ac:dyDescent="0.2">
      <c r="A15" s="244"/>
      <c r="B15" s="2012"/>
      <c r="C15" s="245">
        <v>2710</v>
      </c>
      <c r="D15" s="155" t="s">
        <v>1067</v>
      </c>
      <c r="E15" s="246">
        <v>0</v>
      </c>
      <c r="F15" s="247">
        <v>0</v>
      </c>
      <c r="G15" s="1029">
        <v>0</v>
      </c>
    </row>
    <row r="16" spans="1:7" x14ac:dyDescent="0.2">
      <c r="A16" s="244"/>
      <c r="B16" s="2013"/>
      <c r="C16" s="245">
        <v>4170</v>
      </c>
      <c r="D16" s="200" t="s">
        <v>364</v>
      </c>
      <c r="E16" s="246">
        <v>15000</v>
      </c>
      <c r="F16" s="247">
        <v>15000</v>
      </c>
      <c r="G16" s="1029">
        <f>F16/E16</f>
        <v>1</v>
      </c>
    </row>
    <row r="17" spans="1:7" x14ac:dyDescent="0.2">
      <c r="A17" s="244"/>
      <c r="B17" s="2013"/>
      <c r="C17" s="248">
        <v>4210</v>
      </c>
      <c r="D17" s="249" t="s">
        <v>352</v>
      </c>
      <c r="E17" s="246">
        <v>5000</v>
      </c>
      <c r="F17" s="250">
        <v>435.68</v>
      </c>
      <c r="G17" s="1029">
        <f t="shared" ref="G17:G19" si="4">F17/E17</f>
        <v>8.7136000000000005E-2</v>
      </c>
    </row>
    <row r="18" spans="1:7" x14ac:dyDescent="0.2">
      <c r="A18" s="244"/>
      <c r="B18" s="2013"/>
      <c r="C18" s="245">
        <v>4300</v>
      </c>
      <c r="D18" s="249" t="s">
        <v>355</v>
      </c>
      <c r="E18" s="246">
        <v>255000</v>
      </c>
      <c r="F18" s="250">
        <v>255000</v>
      </c>
      <c r="G18" s="1029">
        <f t="shared" si="4"/>
        <v>1</v>
      </c>
    </row>
    <row r="19" spans="1:7" ht="60" x14ac:dyDescent="0.2">
      <c r="A19" s="244"/>
      <c r="B19" s="2014"/>
      <c r="C19" s="245">
        <v>6230</v>
      </c>
      <c r="D19" s="251" t="s">
        <v>1090</v>
      </c>
      <c r="E19" s="252">
        <v>78810</v>
      </c>
      <c r="F19" s="253">
        <v>63468.959999999999</v>
      </c>
      <c r="G19" s="1029">
        <f t="shared" si="4"/>
        <v>0.80534145413018654</v>
      </c>
    </row>
    <row r="20" spans="1:7" x14ac:dyDescent="0.2">
      <c r="A20" s="244"/>
      <c r="B20" s="224">
        <v>90002</v>
      </c>
      <c r="C20" s="224"/>
      <c r="D20" s="225" t="s">
        <v>311</v>
      </c>
      <c r="E20" s="243">
        <f>SUM(E21:E23)</f>
        <v>60000</v>
      </c>
      <c r="F20" s="243">
        <f t="shared" ref="F20" si="5">SUM(F21:F23)</f>
        <v>24210.780000000002</v>
      </c>
      <c r="G20" s="1028">
        <f>F20/E20</f>
        <v>0.40351300000000007</v>
      </c>
    </row>
    <row r="21" spans="1:7" ht="48" x14ac:dyDescent="0.2">
      <c r="A21" s="244"/>
      <c r="B21" s="254"/>
      <c r="C21" s="254">
        <v>2320</v>
      </c>
      <c r="D21" s="155" t="s">
        <v>1068</v>
      </c>
      <c r="E21" s="255">
        <v>30000</v>
      </c>
      <c r="F21" s="247">
        <v>7004.72</v>
      </c>
      <c r="G21" s="1030">
        <f>F21/E21</f>
        <v>0.23349066666666668</v>
      </c>
    </row>
    <row r="22" spans="1:7" x14ac:dyDescent="0.2">
      <c r="A22" s="244"/>
      <c r="B22" s="256"/>
      <c r="C22" s="248">
        <v>4210</v>
      </c>
      <c r="D22" s="249" t="s">
        <v>352</v>
      </c>
      <c r="E22" s="257">
        <v>10000</v>
      </c>
      <c r="F22" s="250">
        <v>0</v>
      </c>
      <c r="G22" s="1030">
        <f t="shared" ref="G22:G23" si="6">F22/E22</f>
        <v>0</v>
      </c>
    </row>
    <row r="23" spans="1:7" x14ac:dyDescent="0.2">
      <c r="A23" s="244"/>
      <c r="B23" s="258"/>
      <c r="C23" s="248">
        <v>4300</v>
      </c>
      <c r="D23" s="249" t="s">
        <v>355</v>
      </c>
      <c r="E23" s="257">
        <v>20000</v>
      </c>
      <c r="F23" s="250">
        <v>17206.060000000001</v>
      </c>
      <c r="G23" s="1030">
        <f t="shared" si="6"/>
        <v>0.86030300000000004</v>
      </c>
    </row>
    <row r="24" spans="1:7" x14ac:dyDescent="0.2">
      <c r="A24" s="244"/>
      <c r="B24" s="224">
        <v>90004</v>
      </c>
      <c r="C24" s="259"/>
      <c r="D24" s="225" t="s">
        <v>861</v>
      </c>
      <c r="E24" s="243">
        <f>SUM(E25:E26)</f>
        <v>100000</v>
      </c>
      <c r="F24" s="243">
        <f t="shared" ref="F24" si="7">SUM(F25:F26)</f>
        <v>85889.01999999999</v>
      </c>
      <c r="G24" s="1028">
        <f t="shared" ref="G24:G33" si="8">F24/E24</f>
        <v>0.85889019999999994</v>
      </c>
    </row>
    <row r="25" spans="1:7" x14ac:dyDescent="0.2">
      <c r="A25" s="244"/>
      <c r="B25" s="260"/>
      <c r="C25" s="230">
        <v>4210</v>
      </c>
      <c r="D25" s="261" t="s">
        <v>352</v>
      </c>
      <c r="E25" s="262">
        <v>48000</v>
      </c>
      <c r="F25" s="263">
        <v>46997.27</v>
      </c>
      <c r="G25" s="1031">
        <f t="shared" si="8"/>
        <v>0.97910979166666656</v>
      </c>
    </row>
    <row r="26" spans="1:7" x14ac:dyDescent="0.2">
      <c r="A26" s="244"/>
      <c r="B26" s="232"/>
      <c r="C26" s="230">
        <v>4300</v>
      </c>
      <c r="D26" s="261" t="s">
        <v>355</v>
      </c>
      <c r="E26" s="262">
        <v>52000</v>
      </c>
      <c r="F26" s="263">
        <v>38891.75</v>
      </c>
      <c r="G26" s="1031">
        <f t="shared" si="8"/>
        <v>0.74791826923076921</v>
      </c>
    </row>
    <row r="27" spans="1:7" ht="24" x14ac:dyDescent="0.2">
      <c r="A27" s="244"/>
      <c r="B27" s="264">
        <v>90005</v>
      </c>
      <c r="C27" s="265"/>
      <c r="D27" s="266" t="s">
        <v>865</v>
      </c>
      <c r="E27" s="243">
        <f>E28</f>
        <v>47190</v>
      </c>
      <c r="F27" s="243">
        <f t="shared" ref="F27" si="9">F28</f>
        <v>31659.67</v>
      </c>
      <c r="G27" s="1028">
        <f t="shared" si="8"/>
        <v>0.67089785971604154</v>
      </c>
    </row>
    <row r="28" spans="1:7" ht="60" x14ac:dyDescent="0.2">
      <c r="A28" s="244"/>
      <c r="B28" s="232"/>
      <c r="C28" s="245">
        <v>6230</v>
      </c>
      <c r="D28" s="251" t="s">
        <v>1090</v>
      </c>
      <c r="E28" s="252">
        <v>47190</v>
      </c>
      <c r="F28" s="253">
        <v>31659.67</v>
      </c>
      <c r="G28" s="1029">
        <f t="shared" si="8"/>
        <v>0.67089785971604154</v>
      </c>
    </row>
    <row r="29" spans="1:7" ht="36" x14ac:dyDescent="0.2">
      <c r="A29" s="244"/>
      <c r="B29" s="267">
        <v>90019</v>
      </c>
      <c r="C29" s="224"/>
      <c r="D29" s="225" t="s">
        <v>314</v>
      </c>
      <c r="E29" s="243">
        <f>E30</f>
        <v>7000</v>
      </c>
      <c r="F29" s="243">
        <f t="shared" ref="F29" si="10">F30</f>
        <v>6990</v>
      </c>
      <c r="G29" s="1028">
        <f t="shared" si="8"/>
        <v>0.99857142857142855</v>
      </c>
    </row>
    <row r="30" spans="1:7" x14ac:dyDescent="0.2">
      <c r="A30" s="244"/>
      <c r="B30" s="268"/>
      <c r="C30" s="230">
        <v>4430</v>
      </c>
      <c r="D30" s="261" t="s">
        <v>358</v>
      </c>
      <c r="E30" s="262">
        <v>7000</v>
      </c>
      <c r="F30" s="263">
        <v>6990</v>
      </c>
      <c r="G30" s="1031">
        <f t="shared" si="8"/>
        <v>0.99857142857142855</v>
      </c>
    </row>
    <row r="31" spans="1:7" x14ac:dyDescent="0.2">
      <c r="A31" s="244"/>
      <c r="B31" s="224">
        <v>90095</v>
      </c>
      <c r="C31" s="259"/>
      <c r="D31" s="225" t="s">
        <v>14</v>
      </c>
      <c r="E31" s="243">
        <f>SUM(E32:E32)</f>
        <v>2000</v>
      </c>
      <c r="F31" s="243">
        <f t="shared" ref="F31" si="11">SUM(F32:F32)</f>
        <v>568.17999999999995</v>
      </c>
      <c r="G31" s="1028">
        <f t="shared" si="8"/>
        <v>0.28408999999999995</v>
      </c>
    </row>
    <row r="32" spans="1:7" x14ac:dyDescent="0.2">
      <c r="A32" s="227"/>
      <c r="B32" s="268"/>
      <c r="C32" s="230">
        <v>4210</v>
      </c>
      <c r="D32" s="261" t="s">
        <v>352</v>
      </c>
      <c r="E32" s="262">
        <v>2000</v>
      </c>
      <c r="F32" s="263">
        <v>568.17999999999995</v>
      </c>
      <c r="G32" s="1031">
        <f t="shared" si="8"/>
        <v>0.28408999999999995</v>
      </c>
    </row>
    <row r="33" spans="1:7" ht="20.25" customHeight="1" x14ac:dyDescent="0.25">
      <c r="A33" s="227"/>
      <c r="B33" s="232"/>
      <c r="C33" s="232"/>
      <c r="D33" s="234" t="s">
        <v>1083</v>
      </c>
      <c r="E33" s="269">
        <f>E13</f>
        <v>570000</v>
      </c>
      <c r="F33" s="269">
        <f t="shared" ref="F33" si="12">F13</f>
        <v>483222.29000000004</v>
      </c>
      <c r="G33" s="1032">
        <f t="shared" si="8"/>
        <v>0.84775840350877196</v>
      </c>
    </row>
    <row r="34" spans="1:7" x14ac:dyDescent="0.2">
      <c r="A34" s="270"/>
      <c r="B34" s="271"/>
      <c r="C34" s="271"/>
      <c r="D34" s="271"/>
      <c r="E34" s="271"/>
      <c r="F34" s="271"/>
      <c r="G34" s="271"/>
    </row>
    <row r="35" spans="1:7" x14ac:dyDescent="0.2">
      <c r="A35" s="270"/>
      <c r="B35" s="271"/>
      <c r="C35" s="271"/>
      <c r="D35" s="271"/>
      <c r="E35" s="271"/>
      <c r="F35" s="271"/>
      <c r="G35" s="271"/>
    </row>
    <row r="36" spans="1:7" x14ac:dyDescent="0.2">
      <c r="A36" s="270"/>
      <c r="B36" s="271"/>
      <c r="C36" s="271"/>
      <c r="D36" s="271"/>
      <c r="E36" s="271"/>
      <c r="F36" s="271"/>
      <c r="G36" s="271"/>
    </row>
    <row r="37" spans="1:7" x14ac:dyDescent="0.2">
      <c r="A37" s="270"/>
      <c r="B37" s="271"/>
      <c r="C37" s="271"/>
      <c r="D37" s="271"/>
      <c r="E37" s="271"/>
      <c r="F37" s="271"/>
      <c r="G37" s="271"/>
    </row>
    <row r="38" spans="1:7" x14ac:dyDescent="0.2">
      <c r="A38" s="270"/>
      <c r="B38" s="271"/>
      <c r="C38" s="271"/>
      <c r="D38" s="271"/>
      <c r="E38" s="271"/>
      <c r="F38" s="271"/>
      <c r="G38" s="271"/>
    </row>
    <row r="39" spans="1:7" x14ac:dyDescent="0.2">
      <c r="A39" s="270"/>
      <c r="B39" s="271"/>
      <c r="C39" s="271"/>
      <c r="D39" s="271"/>
      <c r="E39" s="271"/>
      <c r="F39" s="271"/>
      <c r="G39" s="271"/>
    </row>
    <row r="40" spans="1:7" x14ac:dyDescent="0.2">
      <c r="A40" s="270"/>
      <c r="B40" s="271"/>
      <c r="C40" s="271"/>
      <c r="D40" s="271"/>
      <c r="E40" s="271"/>
      <c r="F40" s="271"/>
      <c r="G40" s="271"/>
    </row>
    <row r="41" spans="1:7" x14ac:dyDescent="0.2">
      <c r="A41" s="270"/>
      <c r="B41" s="271"/>
      <c r="C41" s="271"/>
      <c r="D41" s="271"/>
      <c r="E41" s="271"/>
      <c r="F41" s="271"/>
      <c r="G41" s="271"/>
    </row>
    <row r="42" spans="1:7" x14ac:dyDescent="0.2">
      <c r="A42" s="270"/>
      <c r="B42" s="271"/>
      <c r="C42" s="271"/>
      <c r="D42" s="271"/>
      <c r="E42" s="271"/>
      <c r="F42" s="271"/>
      <c r="G42" s="271"/>
    </row>
    <row r="43" spans="1:7" x14ac:dyDescent="0.2">
      <c r="A43" s="270"/>
      <c r="B43" s="271"/>
      <c r="C43" s="271"/>
      <c r="D43" s="271"/>
      <c r="E43" s="271"/>
      <c r="F43" s="271"/>
      <c r="G43" s="271"/>
    </row>
    <row r="44" spans="1:7" x14ac:dyDescent="0.2">
      <c r="A44" s="270"/>
      <c r="B44" s="271"/>
      <c r="C44" s="271"/>
      <c r="D44" s="271"/>
      <c r="E44" s="271"/>
      <c r="F44" s="271"/>
      <c r="G44" s="271"/>
    </row>
    <row r="45" spans="1:7" x14ac:dyDescent="0.2">
      <c r="A45" s="270"/>
      <c r="B45" s="270"/>
      <c r="C45" s="270"/>
      <c r="D45" s="270"/>
      <c r="E45" s="270"/>
      <c r="F45" s="270"/>
      <c r="G45" s="270"/>
    </row>
    <row r="46" spans="1:7" x14ac:dyDescent="0.2">
      <c r="A46" s="270"/>
      <c r="B46" s="270"/>
      <c r="C46" s="270"/>
      <c r="D46" s="270"/>
      <c r="E46" s="270"/>
      <c r="F46" s="270"/>
      <c r="G46" s="270"/>
    </row>
    <row r="47" spans="1:7" x14ac:dyDescent="0.2">
      <c r="A47" s="270"/>
      <c r="B47" s="270"/>
      <c r="C47" s="270"/>
      <c r="D47" s="270"/>
      <c r="E47" s="270"/>
      <c r="F47" s="270"/>
      <c r="G47" s="270"/>
    </row>
    <row r="48" spans="1:7" x14ac:dyDescent="0.2">
      <c r="A48" s="270"/>
      <c r="B48" s="270"/>
      <c r="C48" s="270"/>
      <c r="D48" s="270"/>
      <c r="E48" s="270"/>
      <c r="F48" s="270"/>
      <c r="G48" s="270"/>
    </row>
    <row r="49" spans="1:7" x14ac:dyDescent="0.2">
      <c r="A49" s="270"/>
      <c r="B49" s="270"/>
      <c r="C49" s="270"/>
      <c r="D49" s="270"/>
      <c r="E49" s="270"/>
      <c r="F49" s="270"/>
      <c r="G49" s="270"/>
    </row>
    <row r="50" spans="1:7" x14ac:dyDescent="0.2">
      <c r="A50" s="270"/>
      <c r="B50" s="270"/>
      <c r="C50" s="270"/>
      <c r="D50" s="270"/>
      <c r="E50" s="270"/>
      <c r="F50" s="270"/>
      <c r="G50" s="270"/>
    </row>
  </sheetData>
  <mergeCells count="6">
    <mergeCell ref="D1:G1"/>
    <mergeCell ref="B15:B19"/>
    <mergeCell ref="D2:G2"/>
    <mergeCell ref="A3:G3"/>
    <mergeCell ref="A4:D4"/>
    <mergeCell ref="A11:D11"/>
  </mergeCells>
  <pageMargins left="0.9055118110236221" right="0" top="0.74803149606299213" bottom="0.55118110236220474" header="0.31496062992125984" footer="0.31496062992125984"/>
  <pageSetup paperSize="9" orientation="portrait" r:id="rId1"/>
  <headerFooter>
    <oddFooter>Strona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workbookViewId="0">
      <selection activeCell="F38" sqref="F38"/>
    </sheetView>
  </sheetViews>
  <sheetFormatPr defaultRowHeight="12.75" x14ac:dyDescent="0.2"/>
  <cols>
    <col min="1" max="1" width="4.42578125" style="596" customWidth="1"/>
    <col min="2" max="3" width="7.85546875" style="596" customWidth="1"/>
    <col min="4" max="4" width="37.28515625" style="596" customWidth="1"/>
    <col min="5" max="5" width="11.42578125" style="596" customWidth="1"/>
    <col min="6" max="6" width="13.140625" style="596" customWidth="1"/>
    <col min="7" max="7" width="9.42578125" style="596" customWidth="1"/>
    <col min="8" max="16384" width="9.140625" style="596"/>
  </cols>
  <sheetData>
    <row r="1" spans="1:7" ht="15" customHeight="1" x14ac:dyDescent="0.2">
      <c r="A1" s="595"/>
      <c r="B1" s="595"/>
      <c r="C1" s="595"/>
      <c r="D1" s="2019" t="s">
        <v>1453</v>
      </c>
      <c r="E1" s="2019"/>
      <c r="F1" s="2019"/>
      <c r="G1" s="2019"/>
    </row>
    <row r="2" spans="1:7" x14ac:dyDescent="0.2">
      <c r="A2" s="595"/>
      <c r="B2" s="595"/>
      <c r="C2" s="595"/>
      <c r="D2" s="597"/>
      <c r="E2" s="597"/>
      <c r="F2" s="597"/>
    </row>
    <row r="3" spans="1:7" ht="15" x14ac:dyDescent="0.2">
      <c r="A3" s="2020" t="s">
        <v>1426</v>
      </c>
      <c r="B3" s="2020"/>
      <c r="C3" s="2020"/>
      <c r="D3" s="2020"/>
      <c r="E3" s="2020"/>
      <c r="F3" s="2020"/>
      <c r="G3" s="2020"/>
    </row>
    <row r="4" spans="1:7" ht="15" x14ac:dyDescent="0.2">
      <c r="A4" s="2020" t="s">
        <v>1427</v>
      </c>
      <c r="B4" s="2020"/>
      <c r="C4" s="2020"/>
      <c r="D4" s="2020"/>
      <c r="E4" s="2020"/>
      <c r="F4" s="2020"/>
      <c r="G4" s="2020"/>
    </row>
    <row r="5" spans="1:7" ht="15" x14ac:dyDescent="0.2">
      <c r="A5" s="2020" t="s">
        <v>1337</v>
      </c>
      <c r="B5" s="2020"/>
      <c r="C5" s="2020"/>
      <c r="D5" s="2020"/>
      <c r="E5" s="2020"/>
      <c r="F5" s="2020"/>
      <c r="G5" s="2020"/>
    </row>
    <row r="6" spans="1:7" ht="15" x14ac:dyDescent="0.2">
      <c r="A6" s="2020" t="s">
        <v>1338</v>
      </c>
      <c r="B6" s="2020"/>
      <c r="C6" s="2020"/>
      <c r="D6" s="2020"/>
      <c r="E6" s="2020"/>
      <c r="F6" s="2020"/>
      <c r="G6" s="2020"/>
    </row>
    <row r="7" spans="1:7" ht="15" x14ac:dyDescent="0.2">
      <c r="A7" s="2020" t="s">
        <v>1451</v>
      </c>
      <c r="B7" s="2020"/>
      <c r="C7" s="2020"/>
      <c r="D7" s="2020"/>
      <c r="E7" s="2020"/>
      <c r="F7" s="2020"/>
      <c r="G7" s="2020"/>
    </row>
    <row r="8" spans="1:7" ht="12" customHeight="1" x14ac:dyDescent="0.2">
      <c r="A8" s="598"/>
      <c r="B8" s="599"/>
      <c r="C8" s="599"/>
      <c r="D8" s="599"/>
      <c r="E8" s="595"/>
      <c r="F8" s="595"/>
    </row>
    <row r="9" spans="1:7" ht="15.75" x14ac:dyDescent="0.25">
      <c r="A9" s="600"/>
      <c r="B9" s="601"/>
      <c r="C9" s="601"/>
      <c r="D9" s="602" t="s">
        <v>1093</v>
      </c>
      <c r="E9" s="601"/>
      <c r="F9" s="595"/>
    </row>
    <row r="10" spans="1:7" ht="39.75" customHeight="1" x14ac:dyDescent="0.2">
      <c r="A10" s="603" t="s">
        <v>0</v>
      </c>
      <c r="B10" s="604" t="s">
        <v>1</v>
      </c>
      <c r="C10" s="605" t="s">
        <v>2</v>
      </c>
      <c r="D10" s="606" t="s">
        <v>3</v>
      </c>
      <c r="E10" s="607" t="s">
        <v>1452</v>
      </c>
      <c r="F10" s="1239" t="s">
        <v>1446</v>
      </c>
      <c r="G10" s="1015" t="s">
        <v>1357</v>
      </c>
    </row>
    <row r="11" spans="1:7" s="613" customFormat="1" ht="48" x14ac:dyDescent="0.25">
      <c r="A11" s="608">
        <v>756</v>
      </c>
      <c r="B11" s="609"/>
      <c r="C11" s="610"/>
      <c r="D11" s="611" t="s">
        <v>1339</v>
      </c>
      <c r="E11" s="612">
        <f>SUM(E12)</f>
        <v>300000</v>
      </c>
      <c r="F11" s="612">
        <f t="shared" ref="F11:F12" si="0">SUM(F12)</f>
        <v>343579.9</v>
      </c>
      <c r="G11" s="1017">
        <f>F11/E11</f>
        <v>1.1452663333333335</v>
      </c>
    </row>
    <row r="12" spans="1:7" s="613" customFormat="1" ht="36" x14ac:dyDescent="0.25">
      <c r="A12" s="2021"/>
      <c r="B12" s="614">
        <v>75618</v>
      </c>
      <c r="C12" s="615"/>
      <c r="D12" s="616" t="s">
        <v>147</v>
      </c>
      <c r="E12" s="617">
        <f>SUM(E13)</f>
        <v>300000</v>
      </c>
      <c r="F12" s="617">
        <f t="shared" si="0"/>
        <v>343579.9</v>
      </c>
      <c r="G12" s="1018">
        <f>F12/E12</f>
        <v>1.1452663333333335</v>
      </c>
    </row>
    <row r="13" spans="1:7" s="613" customFormat="1" ht="12" x14ac:dyDescent="0.25">
      <c r="A13" s="2022"/>
      <c r="B13" s="618"/>
      <c r="C13" s="619">
        <v>480</v>
      </c>
      <c r="D13" s="620" t="s">
        <v>1340</v>
      </c>
      <c r="E13" s="621">
        <v>300000</v>
      </c>
      <c r="F13" s="1016">
        <v>343579.9</v>
      </c>
      <c r="G13" s="1019">
        <f>F13/E13</f>
        <v>1.1452663333333335</v>
      </c>
    </row>
    <row r="14" spans="1:7" s="626" customFormat="1" ht="24" customHeight="1" x14ac:dyDescent="0.25">
      <c r="A14" s="622"/>
      <c r="B14" s="622"/>
      <c r="C14" s="623"/>
      <c r="D14" s="624" t="s">
        <v>1341</v>
      </c>
      <c r="E14" s="625">
        <f>SUM(E11)</f>
        <v>300000</v>
      </c>
      <c r="F14" s="625">
        <f t="shared" ref="F14" si="1">SUM(F11)</f>
        <v>343579.9</v>
      </c>
      <c r="G14" s="1020">
        <f>F14/E14</f>
        <v>1.1452663333333335</v>
      </c>
    </row>
    <row r="15" spans="1:7" x14ac:dyDescent="0.2">
      <c r="A15" s="627"/>
      <c r="B15" s="628"/>
      <c r="C15" s="595"/>
      <c r="D15" s="595"/>
      <c r="E15" s="595"/>
      <c r="F15" s="595"/>
      <c r="G15" s="629"/>
    </row>
    <row r="16" spans="1:7" ht="15.75" x14ac:dyDescent="0.25">
      <c r="A16" s="595"/>
      <c r="B16" s="595"/>
      <c r="C16" s="595"/>
      <c r="D16" s="602" t="s">
        <v>1342</v>
      </c>
      <c r="E16" s="595"/>
      <c r="F16" s="595"/>
      <c r="G16" s="629"/>
    </row>
    <row r="17" spans="1:7" ht="39.75" customHeight="1" x14ac:dyDescent="0.2">
      <c r="A17" s="603" t="s">
        <v>0</v>
      </c>
      <c r="B17" s="603" t="s">
        <v>1</v>
      </c>
      <c r="C17" s="605" t="s">
        <v>2</v>
      </c>
      <c r="D17" s="606" t="s">
        <v>3</v>
      </c>
      <c r="E17" s="607" t="s">
        <v>1452</v>
      </c>
      <c r="F17" s="1239" t="s">
        <v>1446</v>
      </c>
      <c r="G17" s="1021" t="s">
        <v>1357</v>
      </c>
    </row>
    <row r="18" spans="1:7" s="613" customFormat="1" ht="17.25" customHeight="1" x14ac:dyDescent="0.25">
      <c r="A18" s="630">
        <v>851</v>
      </c>
      <c r="B18" s="631"/>
      <c r="C18" s="632"/>
      <c r="D18" s="633" t="s">
        <v>715</v>
      </c>
      <c r="E18" s="634">
        <f>E19+E23</f>
        <v>354844</v>
      </c>
      <c r="F18" s="634">
        <f t="shared" ref="F18" si="2">F19+F23</f>
        <v>293505.36000000004</v>
      </c>
      <c r="G18" s="1022">
        <f t="shared" ref="G18:G24" si="3">F18/E18</f>
        <v>0.82713913719831822</v>
      </c>
    </row>
    <row r="19" spans="1:7" s="613" customFormat="1" ht="12" x14ac:dyDescent="0.25">
      <c r="A19" s="2021"/>
      <c r="B19" s="635">
        <v>85153</v>
      </c>
      <c r="C19" s="615"/>
      <c r="D19" s="636" t="s">
        <v>721</v>
      </c>
      <c r="E19" s="617">
        <f>SUM(E20:E22)</f>
        <v>8400</v>
      </c>
      <c r="F19" s="617">
        <f t="shared" ref="F19" si="4">SUM(F20:F22)</f>
        <v>3400</v>
      </c>
      <c r="G19" s="1018">
        <f t="shared" si="3"/>
        <v>0.40476190476190477</v>
      </c>
    </row>
    <row r="20" spans="1:7" s="613" customFormat="1" ht="15" customHeight="1" x14ac:dyDescent="0.25">
      <c r="A20" s="2023"/>
      <c r="B20" s="637"/>
      <c r="C20" s="638">
        <v>4170</v>
      </c>
      <c r="D20" s="620" t="s">
        <v>364</v>
      </c>
      <c r="E20" s="621">
        <v>2400</v>
      </c>
      <c r="F20" s="621">
        <v>2400</v>
      </c>
      <c r="G20" s="1019">
        <f t="shared" si="3"/>
        <v>1</v>
      </c>
    </row>
    <row r="21" spans="1:7" s="613" customFormat="1" ht="15" customHeight="1" x14ac:dyDescent="0.25">
      <c r="A21" s="2023"/>
      <c r="B21" s="637"/>
      <c r="C21" s="638">
        <v>4210</v>
      </c>
      <c r="D21" s="620" t="s">
        <v>352</v>
      </c>
      <c r="E21" s="621">
        <v>1000</v>
      </c>
      <c r="F21" s="621">
        <v>1000</v>
      </c>
      <c r="G21" s="1019">
        <f t="shared" si="3"/>
        <v>1</v>
      </c>
    </row>
    <row r="22" spans="1:7" s="613" customFormat="1" ht="15" customHeight="1" x14ac:dyDescent="0.25">
      <c r="A22" s="2023"/>
      <c r="B22" s="637"/>
      <c r="C22" s="638">
        <v>4300</v>
      </c>
      <c r="D22" s="620" t="s">
        <v>355</v>
      </c>
      <c r="E22" s="621">
        <v>5000</v>
      </c>
      <c r="F22" s="621">
        <v>0</v>
      </c>
      <c r="G22" s="1019">
        <f t="shared" si="3"/>
        <v>0</v>
      </c>
    </row>
    <row r="23" spans="1:7" s="613" customFormat="1" ht="15" customHeight="1" x14ac:dyDescent="0.25">
      <c r="A23" s="2023"/>
      <c r="B23" s="635">
        <v>85154</v>
      </c>
      <c r="C23" s="615"/>
      <c r="D23" s="636" t="s">
        <v>724</v>
      </c>
      <c r="E23" s="617">
        <f>SUM(E24:E35)</f>
        <v>346444</v>
      </c>
      <c r="F23" s="617">
        <f t="shared" ref="F23" si="5">SUM(F24:F35)</f>
        <v>290105.36000000004</v>
      </c>
      <c r="G23" s="1018">
        <f t="shared" si="3"/>
        <v>0.83738024038517056</v>
      </c>
    </row>
    <row r="24" spans="1:7" s="613" customFormat="1" ht="72" x14ac:dyDescent="0.25">
      <c r="A24" s="2023"/>
      <c r="B24" s="2021"/>
      <c r="C24" s="639">
        <v>2360</v>
      </c>
      <c r="D24" s="79" t="s">
        <v>1079</v>
      </c>
      <c r="E24" s="621">
        <v>48000</v>
      </c>
      <c r="F24" s="621">
        <v>43335</v>
      </c>
      <c r="G24" s="1023">
        <f t="shared" si="3"/>
        <v>0.90281250000000002</v>
      </c>
    </row>
    <row r="25" spans="1:7" s="613" customFormat="1" ht="48" x14ac:dyDescent="0.25">
      <c r="A25" s="2023"/>
      <c r="B25" s="2023"/>
      <c r="C25" s="639">
        <v>2710</v>
      </c>
      <c r="D25" s="79" t="s">
        <v>1343</v>
      </c>
      <c r="E25" s="621">
        <v>13910</v>
      </c>
      <c r="F25" s="621">
        <v>13910</v>
      </c>
      <c r="G25" s="1023">
        <f t="shared" ref="G25:G35" si="6">F25/E25</f>
        <v>1</v>
      </c>
    </row>
    <row r="26" spans="1:7" s="613" customFormat="1" ht="15" customHeight="1" x14ac:dyDescent="0.25">
      <c r="A26" s="2023"/>
      <c r="B26" s="2023"/>
      <c r="C26" s="638">
        <v>4110</v>
      </c>
      <c r="D26" s="620" t="s">
        <v>346</v>
      </c>
      <c r="E26" s="621">
        <v>4884</v>
      </c>
      <c r="F26" s="621">
        <v>3601.34</v>
      </c>
      <c r="G26" s="1023">
        <f t="shared" si="6"/>
        <v>0.7373751023751024</v>
      </c>
    </row>
    <row r="27" spans="1:7" s="613" customFormat="1" ht="15" customHeight="1" x14ac:dyDescent="0.25">
      <c r="A27" s="2023"/>
      <c r="B27" s="2023"/>
      <c r="C27" s="638">
        <v>4120</v>
      </c>
      <c r="D27" s="620" t="s">
        <v>349</v>
      </c>
      <c r="E27" s="621">
        <v>541</v>
      </c>
      <c r="F27" s="621">
        <v>343.08</v>
      </c>
      <c r="G27" s="1023">
        <f t="shared" si="6"/>
        <v>0.63415896487985213</v>
      </c>
    </row>
    <row r="28" spans="1:7" s="613" customFormat="1" ht="15" customHeight="1" x14ac:dyDescent="0.25">
      <c r="A28" s="2023"/>
      <c r="B28" s="2023"/>
      <c r="C28" s="638">
        <v>4170</v>
      </c>
      <c r="D28" s="620" t="s">
        <v>364</v>
      </c>
      <c r="E28" s="621">
        <v>131560</v>
      </c>
      <c r="F28" s="621">
        <v>124516.08</v>
      </c>
      <c r="G28" s="1023">
        <f t="shared" si="6"/>
        <v>0.9464584980237154</v>
      </c>
    </row>
    <row r="29" spans="1:7" s="613" customFormat="1" ht="15" customHeight="1" x14ac:dyDescent="0.25">
      <c r="A29" s="2023"/>
      <c r="B29" s="2023"/>
      <c r="C29" s="638">
        <v>4210</v>
      </c>
      <c r="D29" s="620" t="s">
        <v>352</v>
      </c>
      <c r="E29" s="621">
        <v>30279</v>
      </c>
      <c r="F29" s="621">
        <v>13669.13</v>
      </c>
      <c r="G29" s="1023">
        <f t="shared" si="6"/>
        <v>0.45143928135011063</v>
      </c>
    </row>
    <row r="30" spans="1:7" s="613" customFormat="1" ht="15" customHeight="1" x14ac:dyDescent="0.25">
      <c r="A30" s="2023"/>
      <c r="B30" s="2023"/>
      <c r="C30" s="638">
        <v>4260</v>
      </c>
      <c r="D30" s="620" t="s">
        <v>368</v>
      </c>
      <c r="E30" s="621">
        <v>15000</v>
      </c>
      <c r="F30" s="621">
        <v>9431.77</v>
      </c>
      <c r="G30" s="1023">
        <f t="shared" si="6"/>
        <v>0.62878466666666666</v>
      </c>
    </row>
    <row r="31" spans="1:7" s="613" customFormat="1" ht="15" customHeight="1" x14ac:dyDescent="0.25">
      <c r="A31" s="2023"/>
      <c r="B31" s="2023"/>
      <c r="C31" s="638">
        <v>4270</v>
      </c>
      <c r="D31" s="620" t="s">
        <v>382</v>
      </c>
      <c r="E31" s="621">
        <v>2000</v>
      </c>
      <c r="F31" s="621">
        <v>0</v>
      </c>
      <c r="G31" s="1023">
        <f t="shared" si="6"/>
        <v>0</v>
      </c>
    </row>
    <row r="32" spans="1:7" s="613" customFormat="1" ht="15" customHeight="1" x14ac:dyDescent="0.25">
      <c r="A32" s="2023"/>
      <c r="B32" s="2023"/>
      <c r="C32" s="638">
        <v>4300</v>
      </c>
      <c r="D32" s="620" t="s">
        <v>355</v>
      </c>
      <c r="E32" s="621">
        <v>95238</v>
      </c>
      <c r="F32" s="621">
        <v>78038.8</v>
      </c>
      <c r="G32" s="1023">
        <f t="shared" si="6"/>
        <v>0.8194082194082194</v>
      </c>
    </row>
    <row r="33" spans="1:7" s="613" customFormat="1" ht="15" customHeight="1" x14ac:dyDescent="0.25">
      <c r="A33" s="2023"/>
      <c r="B33" s="2023"/>
      <c r="C33" s="638">
        <v>4360</v>
      </c>
      <c r="D33" s="640" t="s">
        <v>1110</v>
      </c>
      <c r="E33" s="621">
        <v>2000</v>
      </c>
      <c r="F33" s="641">
        <v>1971.96</v>
      </c>
      <c r="G33" s="1023">
        <f t="shared" si="6"/>
        <v>0.98597999999999997</v>
      </c>
    </row>
    <row r="34" spans="1:7" s="613" customFormat="1" ht="15.75" customHeight="1" x14ac:dyDescent="0.25">
      <c r="A34" s="2023"/>
      <c r="B34" s="2023"/>
      <c r="C34" s="638">
        <v>4410</v>
      </c>
      <c r="D34" s="642" t="s">
        <v>485</v>
      </c>
      <c r="E34" s="621">
        <v>1032</v>
      </c>
      <c r="F34" s="621">
        <v>0</v>
      </c>
      <c r="G34" s="1023">
        <f t="shared" si="6"/>
        <v>0</v>
      </c>
    </row>
    <row r="35" spans="1:7" s="613" customFormat="1" ht="15.75" customHeight="1" thickBot="1" x14ac:dyDescent="0.3">
      <c r="A35" s="2024"/>
      <c r="B35" s="2024"/>
      <c r="C35" s="643">
        <v>4430</v>
      </c>
      <c r="D35" s="644" t="s">
        <v>1344</v>
      </c>
      <c r="E35" s="645">
        <v>2000</v>
      </c>
      <c r="F35" s="645">
        <v>1288.2</v>
      </c>
      <c r="G35" s="1023">
        <f t="shared" si="6"/>
        <v>0.64410000000000001</v>
      </c>
    </row>
    <row r="36" spans="1:7" s="626" customFormat="1" ht="24" customHeight="1" x14ac:dyDescent="0.25">
      <c r="A36" s="646"/>
      <c r="B36" s="1240"/>
      <c r="C36" s="1241"/>
      <c r="D36" s="1242" t="s">
        <v>1341</v>
      </c>
      <c r="E36" s="647">
        <f>E18</f>
        <v>354844</v>
      </c>
      <c r="F36" s="647">
        <f t="shared" ref="F36" si="7">F18</f>
        <v>293505.36000000004</v>
      </c>
      <c r="G36" s="1024">
        <f>F36/E36</f>
        <v>0.82713913719831822</v>
      </c>
    </row>
    <row r="38" spans="1:7" x14ac:dyDescent="0.2">
      <c r="F38" s="1738"/>
    </row>
  </sheetData>
  <mergeCells count="9">
    <mergeCell ref="D1:G1"/>
    <mergeCell ref="A7:G7"/>
    <mergeCell ref="A12:A13"/>
    <mergeCell ref="A19:A35"/>
    <mergeCell ref="B24:B35"/>
    <mergeCell ref="A3:G3"/>
    <mergeCell ref="A4:G4"/>
    <mergeCell ref="A5:G5"/>
    <mergeCell ref="A6:G6"/>
  </mergeCells>
  <pageMargins left="0.9055118110236221" right="0" top="0.74803149606299213" bottom="0.74803149606299213" header="0.31496062992125984" footer="0.31496062992125984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0"/>
  <sheetViews>
    <sheetView topLeftCell="A169" workbookViewId="0">
      <selection activeCell="F187" sqref="F187"/>
    </sheetView>
  </sheetViews>
  <sheetFormatPr defaultColWidth="11.42578125" defaultRowHeight="12.75" x14ac:dyDescent="0.2"/>
  <cols>
    <col min="1" max="1" width="5.7109375" style="426" customWidth="1"/>
    <col min="2" max="2" width="7" style="426" customWidth="1"/>
    <col min="3" max="3" width="7.42578125" style="426" customWidth="1"/>
    <col min="4" max="4" width="11.42578125" style="426" customWidth="1"/>
    <col min="5" max="5" width="34.85546875" style="426" customWidth="1"/>
    <col min="6" max="6" width="12.28515625" style="553" customWidth="1"/>
    <col min="7" max="7" width="12" style="430" customWidth="1"/>
    <col min="8" max="8" width="11.28515625" style="430" customWidth="1"/>
    <col min="9" max="64" width="11.5703125" style="428" customWidth="1"/>
    <col min="65" max="69" width="11.42578125" style="428"/>
    <col min="70" max="70" width="5.7109375" style="428" customWidth="1"/>
    <col min="71" max="71" width="7" style="428" customWidth="1"/>
    <col min="72" max="72" width="7.42578125" style="428" customWidth="1"/>
    <col min="73" max="73" width="13" style="428" customWidth="1"/>
    <col min="74" max="74" width="48.5703125" style="428" customWidth="1"/>
    <col min="75" max="75" width="13.5703125" style="428" customWidth="1"/>
    <col min="76" max="320" width="11.5703125" style="428" customWidth="1"/>
    <col min="321" max="325" width="11.42578125" style="428"/>
    <col min="326" max="326" width="5.7109375" style="428" customWidth="1"/>
    <col min="327" max="327" width="7" style="428" customWidth="1"/>
    <col min="328" max="328" width="7.42578125" style="428" customWidth="1"/>
    <col min="329" max="329" width="13" style="428" customWidth="1"/>
    <col min="330" max="330" width="48.5703125" style="428" customWidth="1"/>
    <col min="331" max="331" width="13.5703125" style="428" customWidth="1"/>
    <col min="332" max="576" width="11.5703125" style="428" customWidth="1"/>
    <col min="577" max="581" width="11.42578125" style="428"/>
    <col min="582" max="582" width="5.7109375" style="428" customWidth="1"/>
    <col min="583" max="583" width="7" style="428" customWidth="1"/>
    <col min="584" max="584" width="7.42578125" style="428" customWidth="1"/>
    <col min="585" max="585" width="13" style="428" customWidth="1"/>
    <col min="586" max="586" width="48.5703125" style="428" customWidth="1"/>
    <col min="587" max="587" width="13.5703125" style="428" customWidth="1"/>
    <col min="588" max="832" width="11.5703125" style="428" customWidth="1"/>
    <col min="833" max="837" width="11.42578125" style="428"/>
    <col min="838" max="838" width="5.7109375" style="428" customWidth="1"/>
    <col min="839" max="839" width="7" style="428" customWidth="1"/>
    <col min="840" max="840" width="7.42578125" style="428" customWidth="1"/>
    <col min="841" max="841" width="13" style="428" customWidth="1"/>
    <col min="842" max="842" width="48.5703125" style="428" customWidth="1"/>
    <col min="843" max="843" width="13.5703125" style="428" customWidth="1"/>
    <col min="844" max="1088" width="11.5703125" style="428" customWidth="1"/>
    <col min="1089" max="1093" width="11.42578125" style="428"/>
    <col min="1094" max="1094" width="5.7109375" style="428" customWidth="1"/>
    <col min="1095" max="1095" width="7" style="428" customWidth="1"/>
    <col min="1096" max="1096" width="7.42578125" style="428" customWidth="1"/>
    <col min="1097" max="1097" width="13" style="428" customWidth="1"/>
    <col min="1098" max="1098" width="48.5703125" style="428" customWidth="1"/>
    <col min="1099" max="1099" width="13.5703125" style="428" customWidth="1"/>
    <col min="1100" max="1344" width="11.5703125" style="428" customWidth="1"/>
    <col min="1345" max="1349" width="11.42578125" style="428"/>
    <col min="1350" max="1350" width="5.7109375" style="428" customWidth="1"/>
    <col min="1351" max="1351" width="7" style="428" customWidth="1"/>
    <col min="1352" max="1352" width="7.42578125" style="428" customWidth="1"/>
    <col min="1353" max="1353" width="13" style="428" customWidth="1"/>
    <col min="1354" max="1354" width="48.5703125" style="428" customWidth="1"/>
    <col min="1355" max="1355" width="13.5703125" style="428" customWidth="1"/>
    <col min="1356" max="1600" width="11.5703125" style="428" customWidth="1"/>
    <col min="1601" max="1605" width="11.42578125" style="428"/>
    <col min="1606" max="1606" width="5.7109375" style="428" customWidth="1"/>
    <col min="1607" max="1607" width="7" style="428" customWidth="1"/>
    <col min="1608" max="1608" width="7.42578125" style="428" customWidth="1"/>
    <col min="1609" max="1609" width="13" style="428" customWidth="1"/>
    <col min="1610" max="1610" width="48.5703125" style="428" customWidth="1"/>
    <col min="1611" max="1611" width="13.5703125" style="428" customWidth="1"/>
    <col min="1612" max="1856" width="11.5703125" style="428" customWidth="1"/>
    <col min="1857" max="1861" width="11.42578125" style="428"/>
    <col min="1862" max="1862" width="5.7109375" style="428" customWidth="1"/>
    <col min="1863" max="1863" width="7" style="428" customWidth="1"/>
    <col min="1864" max="1864" width="7.42578125" style="428" customWidth="1"/>
    <col min="1865" max="1865" width="13" style="428" customWidth="1"/>
    <col min="1866" max="1866" width="48.5703125" style="428" customWidth="1"/>
    <col min="1867" max="1867" width="13.5703125" style="428" customWidth="1"/>
    <col min="1868" max="2112" width="11.5703125" style="428" customWidth="1"/>
    <col min="2113" max="2117" width="11.42578125" style="428"/>
    <col min="2118" max="2118" width="5.7109375" style="428" customWidth="1"/>
    <col min="2119" max="2119" width="7" style="428" customWidth="1"/>
    <col min="2120" max="2120" width="7.42578125" style="428" customWidth="1"/>
    <col min="2121" max="2121" width="13" style="428" customWidth="1"/>
    <col min="2122" max="2122" width="48.5703125" style="428" customWidth="1"/>
    <col min="2123" max="2123" width="13.5703125" style="428" customWidth="1"/>
    <col min="2124" max="2368" width="11.5703125" style="428" customWidth="1"/>
    <col min="2369" max="2373" width="11.42578125" style="428"/>
    <col min="2374" max="2374" width="5.7109375" style="428" customWidth="1"/>
    <col min="2375" max="2375" width="7" style="428" customWidth="1"/>
    <col min="2376" max="2376" width="7.42578125" style="428" customWidth="1"/>
    <col min="2377" max="2377" width="13" style="428" customWidth="1"/>
    <col min="2378" max="2378" width="48.5703125" style="428" customWidth="1"/>
    <col min="2379" max="2379" width="13.5703125" style="428" customWidth="1"/>
    <col min="2380" max="2624" width="11.5703125" style="428" customWidth="1"/>
    <col min="2625" max="2629" width="11.42578125" style="428"/>
    <col min="2630" max="2630" width="5.7109375" style="428" customWidth="1"/>
    <col min="2631" max="2631" width="7" style="428" customWidth="1"/>
    <col min="2632" max="2632" width="7.42578125" style="428" customWidth="1"/>
    <col min="2633" max="2633" width="13" style="428" customWidth="1"/>
    <col min="2634" max="2634" width="48.5703125" style="428" customWidth="1"/>
    <col min="2635" max="2635" width="13.5703125" style="428" customWidth="1"/>
    <col min="2636" max="2880" width="11.5703125" style="428" customWidth="1"/>
    <col min="2881" max="2885" width="11.42578125" style="428"/>
    <col min="2886" max="2886" width="5.7109375" style="428" customWidth="1"/>
    <col min="2887" max="2887" width="7" style="428" customWidth="1"/>
    <col min="2888" max="2888" width="7.42578125" style="428" customWidth="1"/>
    <col min="2889" max="2889" width="13" style="428" customWidth="1"/>
    <col min="2890" max="2890" width="48.5703125" style="428" customWidth="1"/>
    <col min="2891" max="2891" width="13.5703125" style="428" customWidth="1"/>
    <col min="2892" max="3136" width="11.5703125" style="428" customWidth="1"/>
    <col min="3137" max="3141" width="11.42578125" style="428"/>
    <col min="3142" max="3142" width="5.7109375" style="428" customWidth="1"/>
    <col min="3143" max="3143" width="7" style="428" customWidth="1"/>
    <col min="3144" max="3144" width="7.42578125" style="428" customWidth="1"/>
    <col min="3145" max="3145" width="13" style="428" customWidth="1"/>
    <col min="3146" max="3146" width="48.5703125" style="428" customWidth="1"/>
    <col min="3147" max="3147" width="13.5703125" style="428" customWidth="1"/>
    <col min="3148" max="3392" width="11.5703125" style="428" customWidth="1"/>
    <col min="3393" max="3397" width="11.42578125" style="428"/>
    <col min="3398" max="3398" width="5.7109375" style="428" customWidth="1"/>
    <col min="3399" max="3399" width="7" style="428" customWidth="1"/>
    <col min="3400" max="3400" width="7.42578125" style="428" customWidth="1"/>
    <col min="3401" max="3401" width="13" style="428" customWidth="1"/>
    <col min="3402" max="3402" width="48.5703125" style="428" customWidth="1"/>
    <col min="3403" max="3403" width="13.5703125" style="428" customWidth="1"/>
    <col min="3404" max="3648" width="11.5703125" style="428" customWidth="1"/>
    <col min="3649" max="3653" width="11.42578125" style="428"/>
    <col min="3654" max="3654" width="5.7109375" style="428" customWidth="1"/>
    <col min="3655" max="3655" width="7" style="428" customWidth="1"/>
    <col min="3656" max="3656" width="7.42578125" style="428" customWidth="1"/>
    <col min="3657" max="3657" width="13" style="428" customWidth="1"/>
    <col min="3658" max="3658" width="48.5703125" style="428" customWidth="1"/>
    <col min="3659" max="3659" width="13.5703125" style="428" customWidth="1"/>
    <col min="3660" max="3904" width="11.5703125" style="428" customWidth="1"/>
    <col min="3905" max="3909" width="11.42578125" style="428"/>
    <col min="3910" max="3910" width="5.7109375" style="428" customWidth="1"/>
    <col min="3911" max="3911" width="7" style="428" customWidth="1"/>
    <col min="3912" max="3912" width="7.42578125" style="428" customWidth="1"/>
    <col min="3913" max="3913" width="13" style="428" customWidth="1"/>
    <col min="3914" max="3914" width="48.5703125" style="428" customWidth="1"/>
    <col min="3915" max="3915" width="13.5703125" style="428" customWidth="1"/>
    <col min="3916" max="4160" width="11.5703125" style="428" customWidth="1"/>
    <col min="4161" max="4165" width="11.42578125" style="428"/>
    <col min="4166" max="4166" width="5.7109375" style="428" customWidth="1"/>
    <col min="4167" max="4167" width="7" style="428" customWidth="1"/>
    <col min="4168" max="4168" width="7.42578125" style="428" customWidth="1"/>
    <col min="4169" max="4169" width="13" style="428" customWidth="1"/>
    <col min="4170" max="4170" width="48.5703125" style="428" customWidth="1"/>
    <col min="4171" max="4171" width="13.5703125" style="428" customWidth="1"/>
    <col min="4172" max="4416" width="11.5703125" style="428" customWidth="1"/>
    <col min="4417" max="4421" width="11.42578125" style="428"/>
    <col min="4422" max="4422" width="5.7109375" style="428" customWidth="1"/>
    <col min="4423" max="4423" width="7" style="428" customWidth="1"/>
    <col min="4424" max="4424" width="7.42578125" style="428" customWidth="1"/>
    <col min="4425" max="4425" width="13" style="428" customWidth="1"/>
    <col min="4426" max="4426" width="48.5703125" style="428" customWidth="1"/>
    <col min="4427" max="4427" width="13.5703125" style="428" customWidth="1"/>
    <col min="4428" max="4672" width="11.5703125" style="428" customWidth="1"/>
    <col min="4673" max="4677" width="11.42578125" style="428"/>
    <col min="4678" max="4678" width="5.7109375" style="428" customWidth="1"/>
    <col min="4679" max="4679" width="7" style="428" customWidth="1"/>
    <col min="4680" max="4680" width="7.42578125" style="428" customWidth="1"/>
    <col min="4681" max="4681" width="13" style="428" customWidth="1"/>
    <col min="4682" max="4682" width="48.5703125" style="428" customWidth="1"/>
    <col min="4683" max="4683" width="13.5703125" style="428" customWidth="1"/>
    <col min="4684" max="4928" width="11.5703125" style="428" customWidth="1"/>
    <col min="4929" max="4933" width="11.42578125" style="428"/>
    <col min="4934" max="4934" width="5.7109375" style="428" customWidth="1"/>
    <col min="4935" max="4935" width="7" style="428" customWidth="1"/>
    <col min="4936" max="4936" width="7.42578125" style="428" customWidth="1"/>
    <col min="4937" max="4937" width="13" style="428" customWidth="1"/>
    <col min="4938" max="4938" width="48.5703125" style="428" customWidth="1"/>
    <col min="4939" max="4939" width="13.5703125" style="428" customWidth="1"/>
    <col min="4940" max="5184" width="11.5703125" style="428" customWidth="1"/>
    <col min="5185" max="5189" width="11.42578125" style="428"/>
    <col min="5190" max="5190" width="5.7109375" style="428" customWidth="1"/>
    <col min="5191" max="5191" width="7" style="428" customWidth="1"/>
    <col min="5192" max="5192" width="7.42578125" style="428" customWidth="1"/>
    <col min="5193" max="5193" width="13" style="428" customWidth="1"/>
    <col min="5194" max="5194" width="48.5703125" style="428" customWidth="1"/>
    <col min="5195" max="5195" width="13.5703125" style="428" customWidth="1"/>
    <col min="5196" max="5440" width="11.5703125" style="428" customWidth="1"/>
    <col min="5441" max="5445" width="11.42578125" style="428"/>
    <col min="5446" max="5446" width="5.7109375" style="428" customWidth="1"/>
    <col min="5447" max="5447" width="7" style="428" customWidth="1"/>
    <col min="5448" max="5448" width="7.42578125" style="428" customWidth="1"/>
    <col min="5449" max="5449" width="13" style="428" customWidth="1"/>
    <col min="5450" max="5450" width="48.5703125" style="428" customWidth="1"/>
    <col min="5451" max="5451" width="13.5703125" style="428" customWidth="1"/>
    <col min="5452" max="5696" width="11.5703125" style="428" customWidth="1"/>
    <col min="5697" max="5701" width="11.42578125" style="428"/>
    <col min="5702" max="5702" width="5.7109375" style="428" customWidth="1"/>
    <col min="5703" max="5703" width="7" style="428" customWidth="1"/>
    <col min="5704" max="5704" width="7.42578125" style="428" customWidth="1"/>
    <col min="5705" max="5705" width="13" style="428" customWidth="1"/>
    <col min="5706" max="5706" width="48.5703125" style="428" customWidth="1"/>
    <col min="5707" max="5707" width="13.5703125" style="428" customWidth="1"/>
    <col min="5708" max="5952" width="11.5703125" style="428" customWidth="1"/>
    <col min="5953" max="5957" width="11.42578125" style="428"/>
    <col min="5958" max="5958" width="5.7109375" style="428" customWidth="1"/>
    <col min="5959" max="5959" width="7" style="428" customWidth="1"/>
    <col min="5960" max="5960" width="7.42578125" style="428" customWidth="1"/>
    <col min="5961" max="5961" width="13" style="428" customWidth="1"/>
    <col min="5962" max="5962" width="48.5703125" style="428" customWidth="1"/>
    <col min="5963" max="5963" width="13.5703125" style="428" customWidth="1"/>
    <col min="5964" max="6208" width="11.5703125" style="428" customWidth="1"/>
    <col min="6209" max="6213" width="11.42578125" style="428"/>
    <col min="6214" max="6214" width="5.7109375" style="428" customWidth="1"/>
    <col min="6215" max="6215" width="7" style="428" customWidth="1"/>
    <col min="6216" max="6216" width="7.42578125" style="428" customWidth="1"/>
    <col min="6217" max="6217" width="13" style="428" customWidth="1"/>
    <col min="6218" max="6218" width="48.5703125" style="428" customWidth="1"/>
    <col min="6219" max="6219" width="13.5703125" style="428" customWidth="1"/>
    <col min="6220" max="6464" width="11.5703125" style="428" customWidth="1"/>
    <col min="6465" max="6469" width="11.42578125" style="428"/>
    <col min="6470" max="6470" width="5.7109375" style="428" customWidth="1"/>
    <col min="6471" max="6471" width="7" style="428" customWidth="1"/>
    <col min="6472" max="6472" width="7.42578125" style="428" customWidth="1"/>
    <col min="6473" max="6473" width="13" style="428" customWidth="1"/>
    <col min="6474" max="6474" width="48.5703125" style="428" customWidth="1"/>
    <col min="6475" max="6475" width="13.5703125" style="428" customWidth="1"/>
    <col min="6476" max="6720" width="11.5703125" style="428" customWidth="1"/>
    <col min="6721" max="6725" width="11.42578125" style="428"/>
    <col min="6726" max="6726" width="5.7109375" style="428" customWidth="1"/>
    <col min="6727" max="6727" width="7" style="428" customWidth="1"/>
    <col min="6728" max="6728" width="7.42578125" style="428" customWidth="1"/>
    <col min="6729" max="6729" width="13" style="428" customWidth="1"/>
    <col min="6730" max="6730" width="48.5703125" style="428" customWidth="1"/>
    <col min="6731" max="6731" width="13.5703125" style="428" customWidth="1"/>
    <col min="6732" max="6976" width="11.5703125" style="428" customWidth="1"/>
    <col min="6977" max="6981" width="11.42578125" style="428"/>
    <col min="6982" max="6982" width="5.7109375" style="428" customWidth="1"/>
    <col min="6983" max="6983" width="7" style="428" customWidth="1"/>
    <col min="6984" max="6984" width="7.42578125" style="428" customWidth="1"/>
    <col min="6985" max="6985" width="13" style="428" customWidth="1"/>
    <col min="6986" max="6986" width="48.5703125" style="428" customWidth="1"/>
    <col min="6987" max="6987" width="13.5703125" style="428" customWidth="1"/>
    <col min="6988" max="7232" width="11.5703125" style="428" customWidth="1"/>
    <col min="7233" max="7237" width="11.42578125" style="428"/>
    <col min="7238" max="7238" width="5.7109375" style="428" customWidth="1"/>
    <col min="7239" max="7239" width="7" style="428" customWidth="1"/>
    <col min="7240" max="7240" width="7.42578125" style="428" customWidth="1"/>
    <col min="7241" max="7241" width="13" style="428" customWidth="1"/>
    <col min="7242" max="7242" width="48.5703125" style="428" customWidth="1"/>
    <col min="7243" max="7243" width="13.5703125" style="428" customWidth="1"/>
    <col min="7244" max="7488" width="11.5703125" style="428" customWidth="1"/>
    <col min="7489" max="7493" width="11.42578125" style="428"/>
    <col min="7494" max="7494" width="5.7109375" style="428" customWidth="1"/>
    <col min="7495" max="7495" width="7" style="428" customWidth="1"/>
    <col min="7496" max="7496" width="7.42578125" style="428" customWidth="1"/>
    <col min="7497" max="7497" width="13" style="428" customWidth="1"/>
    <col min="7498" max="7498" width="48.5703125" style="428" customWidth="1"/>
    <col min="7499" max="7499" width="13.5703125" style="428" customWidth="1"/>
    <col min="7500" max="7744" width="11.5703125" style="428" customWidth="1"/>
    <col min="7745" max="7749" width="11.42578125" style="428"/>
    <col min="7750" max="7750" width="5.7109375" style="428" customWidth="1"/>
    <col min="7751" max="7751" width="7" style="428" customWidth="1"/>
    <col min="7752" max="7752" width="7.42578125" style="428" customWidth="1"/>
    <col min="7753" max="7753" width="13" style="428" customWidth="1"/>
    <col min="7754" max="7754" width="48.5703125" style="428" customWidth="1"/>
    <col min="7755" max="7755" width="13.5703125" style="428" customWidth="1"/>
    <col min="7756" max="8000" width="11.5703125" style="428" customWidth="1"/>
    <col min="8001" max="8005" width="11.42578125" style="428"/>
    <col min="8006" max="8006" width="5.7109375" style="428" customWidth="1"/>
    <col min="8007" max="8007" width="7" style="428" customWidth="1"/>
    <col min="8008" max="8008" width="7.42578125" style="428" customWidth="1"/>
    <col min="8009" max="8009" width="13" style="428" customWidth="1"/>
    <col min="8010" max="8010" width="48.5703125" style="428" customWidth="1"/>
    <col min="8011" max="8011" width="13.5703125" style="428" customWidth="1"/>
    <col min="8012" max="8256" width="11.5703125" style="428" customWidth="1"/>
    <col min="8257" max="8261" width="11.42578125" style="428"/>
    <col min="8262" max="8262" width="5.7109375" style="428" customWidth="1"/>
    <col min="8263" max="8263" width="7" style="428" customWidth="1"/>
    <col min="8264" max="8264" width="7.42578125" style="428" customWidth="1"/>
    <col min="8265" max="8265" width="13" style="428" customWidth="1"/>
    <col min="8266" max="8266" width="48.5703125" style="428" customWidth="1"/>
    <col min="8267" max="8267" width="13.5703125" style="428" customWidth="1"/>
    <col min="8268" max="8512" width="11.5703125" style="428" customWidth="1"/>
    <col min="8513" max="8517" width="11.42578125" style="428"/>
    <col min="8518" max="8518" width="5.7109375" style="428" customWidth="1"/>
    <col min="8519" max="8519" width="7" style="428" customWidth="1"/>
    <col min="8520" max="8520" width="7.42578125" style="428" customWidth="1"/>
    <col min="8521" max="8521" width="13" style="428" customWidth="1"/>
    <col min="8522" max="8522" width="48.5703125" style="428" customWidth="1"/>
    <col min="8523" max="8523" width="13.5703125" style="428" customWidth="1"/>
    <col min="8524" max="8768" width="11.5703125" style="428" customWidth="1"/>
    <col min="8769" max="8773" width="11.42578125" style="428"/>
    <col min="8774" max="8774" width="5.7109375" style="428" customWidth="1"/>
    <col min="8775" max="8775" width="7" style="428" customWidth="1"/>
    <col min="8776" max="8776" width="7.42578125" style="428" customWidth="1"/>
    <col min="8777" max="8777" width="13" style="428" customWidth="1"/>
    <col min="8778" max="8778" width="48.5703125" style="428" customWidth="1"/>
    <col min="8779" max="8779" width="13.5703125" style="428" customWidth="1"/>
    <col min="8780" max="9024" width="11.5703125" style="428" customWidth="1"/>
    <col min="9025" max="9029" width="11.42578125" style="428"/>
    <col min="9030" max="9030" width="5.7109375" style="428" customWidth="1"/>
    <col min="9031" max="9031" width="7" style="428" customWidth="1"/>
    <col min="9032" max="9032" width="7.42578125" style="428" customWidth="1"/>
    <col min="9033" max="9033" width="13" style="428" customWidth="1"/>
    <col min="9034" max="9034" width="48.5703125" style="428" customWidth="1"/>
    <col min="9035" max="9035" width="13.5703125" style="428" customWidth="1"/>
    <col min="9036" max="9280" width="11.5703125" style="428" customWidth="1"/>
    <col min="9281" max="9285" width="11.42578125" style="428"/>
    <col min="9286" max="9286" width="5.7109375" style="428" customWidth="1"/>
    <col min="9287" max="9287" width="7" style="428" customWidth="1"/>
    <col min="9288" max="9288" width="7.42578125" style="428" customWidth="1"/>
    <col min="9289" max="9289" width="13" style="428" customWidth="1"/>
    <col min="9290" max="9290" width="48.5703125" style="428" customWidth="1"/>
    <col min="9291" max="9291" width="13.5703125" style="428" customWidth="1"/>
    <col min="9292" max="9536" width="11.5703125" style="428" customWidth="1"/>
    <col min="9537" max="9541" width="11.42578125" style="428"/>
    <col min="9542" max="9542" width="5.7109375" style="428" customWidth="1"/>
    <col min="9543" max="9543" width="7" style="428" customWidth="1"/>
    <col min="9544" max="9544" width="7.42578125" style="428" customWidth="1"/>
    <col min="9545" max="9545" width="13" style="428" customWidth="1"/>
    <col min="9546" max="9546" width="48.5703125" style="428" customWidth="1"/>
    <col min="9547" max="9547" width="13.5703125" style="428" customWidth="1"/>
    <col min="9548" max="9792" width="11.5703125" style="428" customWidth="1"/>
    <col min="9793" max="9797" width="11.42578125" style="428"/>
    <col min="9798" max="9798" width="5.7109375" style="428" customWidth="1"/>
    <col min="9799" max="9799" width="7" style="428" customWidth="1"/>
    <col min="9800" max="9800" width="7.42578125" style="428" customWidth="1"/>
    <col min="9801" max="9801" width="13" style="428" customWidth="1"/>
    <col min="9802" max="9802" width="48.5703125" style="428" customWidth="1"/>
    <col min="9803" max="9803" width="13.5703125" style="428" customWidth="1"/>
    <col min="9804" max="10048" width="11.5703125" style="428" customWidth="1"/>
    <col min="10049" max="10053" width="11.42578125" style="428"/>
    <col min="10054" max="10054" width="5.7109375" style="428" customWidth="1"/>
    <col min="10055" max="10055" width="7" style="428" customWidth="1"/>
    <col min="10056" max="10056" width="7.42578125" style="428" customWidth="1"/>
    <col min="10057" max="10057" width="13" style="428" customWidth="1"/>
    <col min="10058" max="10058" width="48.5703125" style="428" customWidth="1"/>
    <col min="10059" max="10059" width="13.5703125" style="428" customWidth="1"/>
    <col min="10060" max="10304" width="11.5703125" style="428" customWidth="1"/>
    <col min="10305" max="10309" width="11.42578125" style="428"/>
    <col min="10310" max="10310" width="5.7109375" style="428" customWidth="1"/>
    <col min="10311" max="10311" width="7" style="428" customWidth="1"/>
    <col min="10312" max="10312" width="7.42578125" style="428" customWidth="1"/>
    <col min="10313" max="10313" width="13" style="428" customWidth="1"/>
    <col min="10314" max="10314" width="48.5703125" style="428" customWidth="1"/>
    <col min="10315" max="10315" width="13.5703125" style="428" customWidth="1"/>
    <col min="10316" max="10560" width="11.5703125" style="428" customWidth="1"/>
    <col min="10561" max="10565" width="11.42578125" style="428"/>
    <col min="10566" max="10566" width="5.7109375" style="428" customWidth="1"/>
    <col min="10567" max="10567" width="7" style="428" customWidth="1"/>
    <col min="10568" max="10568" width="7.42578125" style="428" customWidth="1"/>
    <col min="10569" max="10569" width="13" style="428" customWidth="1"/>
    <col min="10570" max="10570" width="48.5703125" style="428" customWidth="1"/>
    <col min="10571" max="10571" width="13.5703125" style="428" customWidth="1"/>
    <col min="10572" max="10816" width="11.5703125" style="428" customWidth="1"/>
    <col min="10817" max="10821" width="11.42578125" style="428"/>
    <col min="10822" max="10822" width="5.7109375" style="428" customWidth="1"/>
    <col min="10823" max="10823" width="7" style="428" customWidth="1"/>
    <col min="10824" max="10824" width="7.42578125" style="428" customWidth="1"/>
    <col min="10825" max="10825" width="13" style="428" customWidth="1"/>
    <col min="10826" max="10826" width="48.5703125" style="428" customWidth="1"/>
    <col min="10827" max="10827" width="13.5703125" style="428" customWidth="1"/>
    <col min="10828" max="11072" width="11.5703125" style="428" customWidth="1"/>
    <col min="11073" max="11077" width="11.42578125" style="428"/>
    <col min="11078" max="11078" width="5.7109375" style="428" customWidth="1"/>
    <col min="11079" max="11079" width="7" style="428" customWidth="1"/>
    <col min="11080" max="11080" width="7.42578125" style="428" customWidth="1"/>
    <col min="11081" max="11081" width="13" style="428" customWidth="1"/>
    <col min="11082" max="11082" width="48.5703125" style="428" customWidth="1"/>
    <col min="11083" max="11083" width="13.5703125" style="428" customWidth="1"/>
    <col min="11084" max="11328" width="11.5703125" style="428" customWidth="1"/>
    <col min="11329" max="11333" width="11.42578125" style="428"/>
    <col min="11334" max="11334" width="5.7109375" style="428" customWidth="1"/>
    <col min="11335" max="11335" width="7" style="428" customWidth="1"/>
    <col min="11336" max="11336" width="7.42578125" style="428" customWidth="1"/>
    <col min="11337" max="11337" width="13" style="428" customWidth="1"/>
    <col min="11338" max="11338" width="48.5703125" style="428" customWidth="1"/>
    <col min="11339" max="11339" width="13.5703125" style="428" customWidth="1"/>
    <col min="11340" max="11584" width="11.5703125" style="428" customWidth="1"/>
    <col min="11585" max="11589" width="11.42578125" style="428"/>
    <col min="11590" max="11590" width="5.7109375" style="428" customWidth="1"/>
    <col min="11591" max="11591" width="7" style="428" customWidth="1"/>
    <col min="11592" max="11592" width="7.42578125" style="428" customWidth="1"/>
    <col min="11593" max="11593" width="13" style="428" customWidth="1"/>
    <col min="11594" max="11594" width="48.5703125" style="428" customWidth="1"/>
    <col min="11595" max="11595" width="13.5703125" style="428" customWidth="1"/>
    <col min="11596" max="11840" width="11.5703125" style="428" customWidth="1"/>
    <col min="11841" max="11845" width="11.42578125" style="428"/>
    <col min="11846" max="11846" width="5.7109375" style="428" customWidth="1"/>
    <col min="11847" max="11847" width="7" style="428" customWidth="1"/>
    <col min="11848" max="11848" width="7.42578125" style="428" customWidth="1"/>
    <col min="11849" max="11849" width="13" style="428" customWidth="1"/>
    <col min="11850" max="11850" width="48.5703125" style="428" customWidth="1"/>
    <col min="11851" max="11851" width="13.5703125" style="428" customWidth="1"/>
    <col min="11852" max="12096" width="11.5703125" style="428" customWidth="1"/>
    <col min="12097" max="12101" width="11.42578125" style="428"/>
    <col min="12102" max="12102" width="5.7109375" style="428" customWidth="1"/>
    <col min="12103" max="12103" width="7" style="428" customWidth="1"/>
    <col min="12104" max="12104" width="7.42578125" style="428" customWidth="1"/>
    <col min="12105" max="12105" width="13" style="428" customWidth="1"/>
    <col min="12106" max="12106" width="48.5703125" style="428" customWidth="1"/>
    <col min="12107" max="12107" width="13.5703125" style="428" customWidth="1"/>
    <col min="12108" max="12352" width="11.5703125" style="428" customWidth="1"/>
    <col min="12353" max="12357" width="11.42578125" style="428"/>
    <col min="12358" max="12358" width="5.7109375" style="428" customWidth="1"/>
    <col min="12359" max="12359" width="7" style="428" customWidth="1"/>
    <col min="12360" max="12360" width="7.42578125" style="428" customWidth="1"/>
    <col min="12361" max="12361" width="13" style="428" customWidth="1"/>
    <col min="12362" max="12362" width="48.5703125" style="428" customWidth="1"/>
    <col min="12363" max="12363" width="13.5703125" style="428" customWidth="1"/>
    <col min="12364" max="12608" width="11.5703125" style="428" customWidth="1"/>
    <col min="12609" max="12613" width="11.42578125" style="428"/>
    <col min="12614" max="12614" width="5.7109375" style="428" customWidth="1"/>
    <col min="12615" max="12615" width="7" style="428" customWidth="1"/>
    <col min="12616" max="12616" width="7.42578125" style="428" customWidth="1"/>
    <col min="12617" max="12617" width="13" style="428" customWidth="1"/>
    <col min="12618" max="12618" width="48.5703125" style="428" customWidth="1"/>
    <col min="12619" max="12619" width="13.5703125" style="428" customWidth="1"/>
    <col min="12620" max="12864" width="11.5703125" style="428" customWidth="1"/>
    <col min="12865" max="12869" width="11.42578125" style="428"/>
    <col min="12870" max="12870" width="5.7109375" style="428" customWidth="1"/>
    <col min="12871" max="12871" width="7" style="428" customWidth="1"/>
    <col min="12872" max="12872" width="7.42578125" style="428" customWidth="1"/>
    <col min="12873" max="12873" width="13" style="428" customWidth="1"/>
    <col min="12874" max="12874" width="48.5703125" style="428" customWidth="1"/>
    <col min="12875" max="12875" width="13.5703125" style="428" customWidth="1"/>
    <col min="12876" max="13120" width="11.5703125" style="428" customWidth="1"/>
    <col min="13121" max="13125" width="11.42578125" style="428"/>
    <col min="13126" max="13126" width="5.7109375" style="428" customWidth="1"/>
    <col min="13127" max="13127" width="7" style="428" customWidth="1"/>
    <col min="13128" max="13128" width="7.42578125" style="428" customWidth="1"/>
    <col min="13129" max="13129" width="13" style="428" customWidth="1"/>
    <col min="13130" max="13130" width="48.5703125" style="428" customWidth="1"/>
    <col min="13131" max="13131" width="13.5703125" style="428" customWidth="1"/>
    <col min="13132" max="13376" width="11.5703125" style="428" customWidth="1"/>
    <col min="13377" max="13381" width="11.42578125" style="428"/>
    <col min="13382" max="13382" width="5.7109375" style="428" customWidth="1"/>
    <col min="13383" max="13383" width="7" style="428" customWidth="1"/>
    <col min="13384" max="13384" width="7.42578125" style="428" customWidth="1"/>
    <col min="13385" max="13385" width="13" style="428" customWidth="1"/>
    <col min="13386" max="13386" width="48.5703125" style="428" customWidth="1"/>
    <col min="13387" max="13387" width="13.5703125" style="428" customWidth="1"/>
    <col min="13388" max="13632" width="11.5703125" style="428" customWidth="1"/>
    <col min="13633" max="13637" width="11.42578125" style="428"/>
    <col min="13638" max="13638" width="5.7109375" style="428" customWidth="1"/>
    <col min="13639" max="13639" width="7" style="428" customWidth="1"/>
    <col min="13640" max="13640" width="7.42578125" style="428" customWidth="1"/>
    <col min="13641" max="13641" width="13" style="428" customWidth="1"/>
    <col min="13642" max="13642" width="48.5703125" style="428" customWidth="1"/>
    <col min="13643" max="13643" width="13.5703125" style="428" customWidth="1"/>
    <col min="13644" max="13888" width="11.5703125" style="428" customWidth="1"/>
    <col min="13889" max="13893" width="11.42578125" style="428"/>
    <col min="13894" max="13894" width="5.7109375" style="428" customWidth="1"/>
    <col min="13895" max="13895" width="7" style="428" customWidth="1"/>
    <col min="13896" max="13896" width="7.42578125" style="428" customWidth="1"/>
    <col min="13897" max="13897" width="13" style="428" customWidth="1"/>
    <col min="13898" max="13898" width="48.5703125" style="428" customWidth="1"/>
    <col min="13899" max="13899" width="13.5703125" style="428" customWidth="1"/>
    <col min="13900" max="14144" width="11.5703125" style="428" customWidth="1"/>
    <col min="14145" max="14149" width="11.42578125" style="428"/>
    <col min="14150" max="14150" width="5.7109375" style="428" customWidth="1"/>
    <col min="14151" max="14151" width="7" style="428" customWidth="1"/>
    <col min="14152" max="14152" width="7.42578125" style="428" customWidth="1"/>
    <col min="14153" max="14153" width="13" style="428" customWidth="1"/>
    <col min="14154" max="14154" width="48.5703125" style="428" customWidth="1"/>
    <col min="14155" max="14155" width="13.5703125" style="428" customWidth="1"/>
    <col min="14156" max="14400" width="11.5703125" style="428" customWidth="1"/>
    <col min="14401" max="14405" width="11.42578125" style="428"/>
    <col min="14406" max="14406" width="5.7109375" style="428" customWidth="1"/>
    <col min="14407" max="14407" width="7" style="428" customWidth="1"/>
    <col min="14408" max="14408" width="7.42578125" style="428" customWidth="1"/>
    <col min="14409" max="14409" width="13" style="428" customWidth="1"/>
    <col min="14410" max="14410" width="48.5703125" style="428" customWidth="1"/>
    <col min="14411" max="14411" width="13.5703125" style="428" customWidth="1"/>
    <col min="14412" max="14656" width="11.5703125" style="428" customWidth="1"/>
    <col min="14657" max="14661" width="11.42578125" style="428"/>
    <col min="14662" max="14662" width="5.7109375" style="428" customWidth="1"/>
    <col min="14663" max="14663" width="7" style="428" customWidth="1"/>
    <col min="14664" max="14664" width="7.42578125" style="428" customWidth="1"/>
    <col min="14665" max="14665" width="13" style="428" customWidth="1"/>
    <col min="14666" max="14666" width="48.5703125" style="428" customWidth="1"/>
    <col min="14667" max="14667" width="13.5703125" style="428" customWidth="1"/>
    <col min="14668" max="14912" width="11.5703125" style="428" customWidth="1"/>
    <col min="14913" max="14917" width="11.42578125" style="428"/>
    <col min="14918" max="14918" width="5.7109375" style="428" customWidth="1"/>
    <col min="14919" max="14919" width="7" style="428" customWidth="1"/>
    <col min="14920" max="14920" width="7.42578125" style="428" customWidth="1"/>
    <col min="14921" max="14921" width="13" style="428" customWidth="1"/>
    <col min="14922" max="14922" width="48.5703125" style="428" customWidth="1"/>
    <col min="14923" max="14923" width="13.5703125" style="428" customWidth="1"/>
    <col min="14924" max="15168" width="11.5703125" style="428" customWidth="1"/>
    <col min="15169" max="15173" width="11.42578125" style="428"/>
    <col min="15174" max="15174" width="5.7109375" style="428" customWidth="1"/>
    <col min="15175" max="15175" width="7" style="428" customWidth="1"/>
    <col min="15176" max="15176" width="7.42578125" style="428" customWidth="1"/>
    <col min="15177" max="15177" width="13" style="428" customWidth="1"/>
    <col min="15178" max="15178" width="48.5703125" style="428" customWidth="1"/>
    <col min="15179" max="15179" width="13.5703125" style="428" customWidth="1"/>
    <col min="15180" max="15424" width="11.5703125" style="428" customWidth="1"/>
    <col min="15425" max="16384" width="11.42578125" style="428"/>
  </cols>
  <sheetData>
    <row r="1" spans="1:8" ht="15" customHeight="1" x14ac:dyDescent="0.2">
      <c r="E1" s="427"/>
      <c r="F1" s="427" t="s">
        <v>1454</v>
      </c>
      <c r="G1" s="427"/>
      <c r="H1" s="427"/>
    </row>
    <row r="2" spans="1:8" x14ac:dyDescent="0.2">
      <c r="F2" s="429"/>
    </row>
    <row r="4" spans="1:8" s="431" customFormat="1" ht="15" x14ac:dyDescent="0.2">
      <c r="A4" s="2031" t="s">
        <v>1455</v>
      </c>
      <c r="B4" s="2031"/>
      <c r="C4" s="2031"/>
      <c r="D4" s="2031"/>
      <c r="E4" s="2031"/>
      <c r="F4" s="2031"/>
      <c r="G4" s="2031"/>
      <c r="H4" s="2031"/>
    </row>
    <row r="5" spans="1:8" s="431" customFormat="1" ht="9" customHeight="1" x14ac:dyDescent="0.2">
      <c r="A5" s="432"/>
      <c r="B5" s="432"/>
      <c r="C5" s="432"/>
      <c r="D5" s="432"/>
      <c r="E5" s="432"/>
      <c r="F5" s="432"/>
      <c r="G5" s="432"/>
      <c r="H5" s="432"/>
    </row>
    <row r="6" spans="1:8" ht="33.75" x14ac:dyDescent="0.2">
      <c r="A6" s="433" t="s">
        <v>0</v>
      </c>
      <c r="B6" s="434" t="s">
        <v>1</v>
      </c>
      <c r="C6" s="434" t="s">
        <v>2</v>
      </c>
      <c r="D6" s="434" t="s">
        <v>1135</v>
      </c>
      <c r="E6" s="434" t="s">
        <v>3</v>
      </c>
      <c r="F6" s="435" t="s">
        <v>1440</v>
      </c>
      <c r="G6" s="435" t="s">
        <v>1456</v>
      </c>
      <c r="H6" s="1263" t="s">
        <v>1357</v>
      </c>
    </row>
    <row r="7" spans="1:8" s="441" customFormat="1" x14ac:dyDescent="0.2">
      <c r="A7" s="436" t="s">
        <v>5</v>
      </c>
      <c r="B7" s="437"/>
      <c r="C7" s="438"/>
      <c r="D7" s="438"/>
      <c r="E7" s="439" t="s">
        <v>6</v>
      </c>
      <c r="F7" s="440">
        <f>F8</f>
        <v>17541.55</v>
      </c>
      <c r="G7" s="440">
        <f t="shared" ref="G7" si="0">G8</f>
        <v>17186.5</v>
      </c>
      <c r="H7" s="1243">
        <f>G7/F7</f>
        <v>0.97975948533624457</v>
      </c>
    </row>
    <row r="8" spans="1:8" s="441" customFormat="1" x14ac:dyDescent="0.2">
      <c r="A8" s="2032"/>
      <c r="B8" s="442" t="s">
        <v>13</v>
      </c>
      <c r="C8" s="443"/>
      <c r="D8" s="443"/>
      <c r="E8" s="444" t="s">
        <v>14</v>
      </c>
      <c r="F8" s="445">
        <f>F9+F13+F16</f>
        <v>17541.55</v>
      </c>
      <c r="G8" s="445">
        <f t="shared" ref="G8" si="1">G9+G13+G16</f>
        <v>17186.5</v>
      </c>
      <c r="H8" s="1244">
        <f>G8/F8</f>
        <v>0.97975948533624457</v>
      </c>
    </row>
    <row r="9" spans="1:8" s="441" customFormat="1" x14ac:dyDescent="0.2">
      <c r="A9" s="2033"/>
      <c r="B9" s="2035"/>
      <c r="C9" s="446" t="s">
        <v>351</v>
      </c>
      <c r="D9" s="447"/>
      <c r="E9" s="448" t="s">
        <v>352</v>
      </c>
      <c r="F9" s="449">
        <f>F10+F11+F12</f>
        <v>2541.5500000000002</v>
      </c>
      <c r="G9" s="449">
        <f t="shared" ref="G9" si="2">G10+G11+G12</f>
        <v>2500</v>
      </c>
      <c r="H9" s="1245">
        <f>G9/F9</f>
        <v>0.98365170860301776</v>
      </c>
    </row>
    <row r="10" spans="1:8" s="453" customFormat="1" ht="22.5" x14ac:dyDescent="0.2">
      <c r="A10" s="2033"/>
      <c r="B10" s="2036"/>
      <c r="C10" s="2038"/>
      <c r="D10" s="450" t="s">
        <v>1136</v>
      </c>
      <c r="E10" s="451" t="s">
        <v>1137</v>
      </c>
      <c r="F10" s="452">
        <v>0</v>
      </c>
      <c r="G10" s="1315">
        <v>0</v>
      </c>
      <c r="H10" s="1246">
        <v>0</v>
      </c>
    </row>
    <row r="11" spans="1:8" s="453" customFormat="1" ht="33.75" x14ac:dyDescent="0.2">
      <c r="A11" s="2033"/>
      <c r="B11" s="2036"/>
      <c r="C11" s="2039"/>
      <c r="D11" s="454" t="s">
        <v>1138</v>
      </c>
      <c r="E11" s="455" t="s">
        <v>1139</v>
      </c>
      <c r="F11" s="452">
        <v>2541.5500000000002</v>
      </c>
      <c r="G11" s="1315">
        <v>2500</v>
      </c>
      <c r="H11" s="1246">
        <f t="shared" ref="H11" si="3">G11/F11</f>
        <v>0.98365170860301776</v>
      </c>
    </row>
    <row r="12" spans="1:8" s="453" customFormat="1" x14ac:dyDescent="0.2">
      <c r="A12" s="2033"/>
      <c r="B12" s="2036"/>
      <c r="C12" s="2040"/>
      <c r="D12" s="450" t="s">
        <v>1140</v>
      </c>
      <c r="E12" s="456" t="s">
        <v>1141</v>
      </c>
      <c r="F12" s="457">
        <v>0</v>
      </c>
      <c r="G12" s="1315">
        <v>0</v>
      </c>
      <c r="H12" s="1246">
        <v>0</v>
      </c>
    </row>
    <row r="13" spans="1:8" s="453" customFormat="1" x14ac:dyDescent="0.2">
      <c r="A13" s="2033"/>
      <c r="B13" s="2036"/>
      <c r="C13" s="459" t="s">
        <v>354</v>
      </c>
      <c r="D13" s="459"/>
      <c r="E13" s="460" t="s">
        <v>355</v>
      </c>
      <c r="F13" s="461">
        <f>F14+F15</f>
        <v>15000</v>
      </c>
      <c r="G13" s="1324">
        <f t="shared" ref="G13" si="4">G14+G15</f>
        <v>14686.5</v>
      </c>
      <c r="H13" s="1247">
        <f>G13/F13</f>
        <v>0.97909999999999997</v>
      </c>
    </row>
    <row r="14" spans="1:8" s="453" customFormat="1" ht="33.75" x14ac:dyDescent="0.2">
      <c r="A14" s="2033"/>
      <c r="B14" s="2036"/>
      <c r="C14" s="462"/>
      <c r="D14" s="454" t="s">
        <v>1138</v>
      </c>
      <c r="E14" s="455" t="s">
        <v>1139</v>
      </c>
      <c r="F14" s="463">
        <v>10000</v>
      </c>
      <c r="G14" s="1315">
        <v>9951</v>
      </c>
      <c r="H14" s="1246">
        <f>G14/F14</f>
        <v>0.99509999999999998</v>
      </c>
    </row>
    <row r="15" spans="1:8" s="453" customFormat="1" ht="22.5" x14ac:dyDescent="0.2">
      <c r="A15" s="2033"/>
      <c r="B15" s="2036"/>
      <c r="C15" s="462"/>
      <c r="D15" s="450" t="s">
        <v>1142</v>
      </c>
      <c r="E15" s="464" t="s">
        <v>1143</v>
      </c>
      <c r="F15" s="465">
        <v>5000</v>
      </c>
      <c r="G15" s="1315">
        <v>4735.5</v>
      </c>
      <c r="H15" s="1246">
        <f>G15/F15</f>
        <v>0.94710000000000005</v>
      </c>
    </row>
    <row r="16" spans="1:8" s="453" customFormat="1" x14ac:dyDescent="0.2">
      <c r="A16" s="2033"/>
      <c r="B16" s="2036"/>
      <c r="C16" s="466" t="s">
        <v>360</v>
      </c>
      <c r="D16" s="467"/>
      <c r="E16" s="460" t="s">
        <v>1144</v>
      </c>
      <c r="F16" s="461">
        <f>F17</f>
        <v>0</v>
      </c>
      <c r="G16" s="1324">
        <f t="shared" ref="G16" si="5">G17</f>
        <v>0</v>
      </c>
      <c r="H16" s="1247">
        <v>0</v>
      </c>
    </row>
    <row r="17" spans="1:8" s="453" customFormat="1" ht="33.75" x14ac:dyDescent="0.2">
      <c r="A17" s="2034"/>
      <c r="B17" s="2037"/>
      <c r="C17" s="462"/>
      <c r="D17" s="467" t="s">
        <v>1145</v>
      </c>
      <c r="E17" s="468" t="s">
        <v>1146</v>
      </c>
      <c r="F17" s="463">
        <v>0</v>
      </c>
      <c r="G17" s="1325"/>
      <c r="H17" s="1246">
        <v>0</v>
      </c>
    </row>
    <row r="18" spans="1:8" s="441" customFormat="1" x14ac:dyDescent="0.2">
      <c r="A18" s="469" t="s">
        <v>27</v>
      </c>
      <c r="B18" s="470"/>
      <c r="C18" s="471"/>
      <c r="D18" s="470"/>
      <c r="E18" s="472" t="s">
        <v>1147</v>
      </c>
      <c r="F18" s="473">
        <f>F19</f>
        <v>29027.75</v>
      </c>
      <c r="G18" s="1326">
        <f t="shared" ref="G18" si="6">G19</f>
        <v>28395.11</v>
      </c>
      <c r="H18" s="1248">
        <f>G18/F18</f>
        <v>0.97820568249347606</v>
      </c>
    </row>
    <row r="19" spans="1:8" s="441" customFormat="1" ht="15.75" x14ac:dyDescent="0.2">
      <c r="A19" s="474"/>
      <c r="B19" s="475" t="s">
        <v>30</v>
      </c>
      <c r="C19" s="476"/>
      <c r="D19" s="476"/>
      <c r="E19" s="477" t="s">
        <v>31</v>
      </c>
      <c r="F19" s="478">
        <f>F20+F29</f>
        <v>29027.75</v>
      </c>
      <c r="G19" s="532">
        <f t="shared" ref="G19" si="7">G20+G29</f>
        <v>28395.11</v>
      </c>
      <c r="H19" s="1249">
        <f>G19/F19</f>
        <v>0.97820568249347606</v>
      </c>
    </row>
    <row r="20" spans="1:8" s="441" customFormat="1" x14ac:dyDescent="0.2">
      <c r="A20" s="479"/>
      <c r="B20" s="480"/>
      <c r="C20" s="481" t="s">
        <v>351</v>
      </c>
      <c r="D20" s="481"/>
      <c r="E20" s="482" t="s">
        <v>352</v>
      </c>
      <c r="F20" s="483">
        <f>SUM(F21:F28)</f>
        <v>17527.75</v>
      </c>
      <c r="G20" s="498">
        <f t="shared" ref="G20" si="8">SUM(G21:G28)</f>
        <v>16949.86</v>
      </c>
      <c r="H20" s="1250">
        <f>G20/F20</f>
        <v>0.96702999529317801</v>
      </c>
    </row>
    <row r="21" spans="1:8" s="453" customFormat="1" x14ac:dyDescent="0.2">
      <c r="A21" s="484"/>
      <c r="B21" s="485"/>
      <c r="C21" s="486"/>
      <c r="D21" s="487" t="s">
        <v>1148</v>
      </c>
      <c r="E21" s="488" t="s">
        <v>1149</v>
      </c>
      <c r="F21" s="489">
        <v>3000</v>
      </c>
      <c r="G21" s="514">
        <v>3000</v>
      </c>
      <c r="H21" s="1251">
        <f>G21/F21</f>
        <v>1</v>
      </c>
    </row>
    <row r="22" spans="1:8" s="453" customFormat="1" ht="22.5" x14ac:dyDescent="0.2">
      <c r="A22" s="484"/>
      <c r="B22" s="485"/>
      <c r="C22" s="486"/>
      <c r="D22" s="487" t="s">
        <v>1136</v>
      </c>
      <c r="E22" s="488" t="s">
        <v>1150</v>
      </c>
      <c r="F22" s="489">
        <v>1000</v>
      </c>
      <c r="G22" s="514">
        <v>994.38</v>
      </c>
      <c r="H22" s="1251">
        <f t="shared" ref="H22:H28" si="9">G22/F22</f>
        <v>0.99438000000000004</v>
      </c>
    </row>
    <row r="23" spans="1:8" s="453" customFormat="1" ht="45" x14ac:dyDescent="0.2">
      <c r="A23" s="484"/>
      <c r="B23" s="485"/>
      <c r="C23" s="486"/>
      <c r="D23" s="490" t="s">
        <v>1142</v>
      </c>
      <c r="E23" s="468" t="s">
        <v>1151</v>
      </c>
      <c r="F23" s="491">
        <v>800</v>
      </c>
      <c r="G23" s="1315">
        <v>800</v>
      </c>
      <c r="H23" s="1251">
        <f t="shared" si="9"/>
        <v>1</v>
      </c>
    </row>
    <row r="24" spans="1:8" s="453" customFormat="1" ht="22.5" x14ac:dyDescent="0.2">
      <c r="A24" s="484"/>
      <c r="B24" s="485"/>
      <c r="C24" s="486"/>
      <c r="D24" s="490" t="s">
        <v>1152</v>
      </c>
      <c r="E24" s="468" t="s">
        <v>1153</v>
      </c>
      <c r="F24" s="491">
        <v>1500</v>
      </c>
      <c r="G24" s="1315">
        <v>1425.57</v>
      </c>
      <c r="H24" s="1251">
        <f t="shared" si="9"/>
        <v>0.95038</v>
      </c>
    </row>
    <row r="25" spans="1:8" s="453" customFormat="1" ht="22.5" x14ac:dyDescent="0.2">
      <c r="A25" s="484"/>
      <c r="B25" s="485"/>
      <c r="C25" s="486"/>
      <c r="D25" s="490" t="s">
        <v>1154</v>
      </c>
      <c r="E25" s="468" t="s">
        <v>1155</v>
      </c>
      <c r="F25" s="491">
        <v>1000</v>
      </c>
      <c r="G25" s="1315">
        <v>1000</v>
      </c>
      <c r="H25" s="1251">
        <f t="shared" si="9"/>
        <v>1</v>
      </c>
    </row>
    <row r="26" spans="1:8" s="453" customFormat="1" ht="45" x14ac:dyDescent="0.2">
      <c r="A26" s="484"/>
      <c r="B26" s="485"/>
      <c r="C26" s="486"/>
      <c r="D26" s="490" t="s">
        <v>1156</v>
      </c>
      <c r="E26" s="468" t="s">
        <v>1481</v>
      </c>
      <c r="F26" s="491">
        <v>6889.85</v>
      </c>
      <c r="G26" s="1315">
        <v>6479.01</v>
      </c>
      <c r="H26" s="1251">
        <f t="shared" si="9"/>
        <v>0.94037025479509717</v>
      </c>
    </row>
    <row r="27" spans="1:8" s="453" customFormat="1" x14ac:dyDescent="0.2">
      <c r="A27" s="484"/>
      <c r="B27" s="485"/>
      <c r="C27" s="486"/>
      <c r="D27" s="490" t="s">
        <v>1157</v>
      </c>
      <c r="E27" s="468" t="s">
        <v>1158</v>
      </c>
      <c r="F27" s="491">
        <v>2337.9</v>
      </c>
      <c r="G27" s="1315">
        <v>2250.9</v>
      </c>
      <c r="H27" s="1251">
        <f t="shared" si="9"/>
        <v>0.96278711664314132</v>
      </c>
    </row>
    <row r="28" spans="1:8" s="453" customFormat="1" x14ac:dyDescent="0.2">
      <c r="A28" s="484"/>
      <c r="B28" s="485"/>
      <c r="C28" s="486"/>
      <c r="D28" s="490" t="s">
        <v>1159</v>
      </c>
      <c r="E28" s="468" t="s">
        <v>1160</v>
      </c>
      <c r="F28" s="491">
        <v>1000</v>
      </c>
      <c r="G28" s="1315">
        <v>1000</v>
      </c>
      <c r="H28" s="1251">
        <f t="shared" si="9"/>
        <v>1</v>
      </c>
    </row>
    <row r="29" spans="1:8" s="453" customFormat="1" x14ac:dyDescent="0.2">
      <c r="A29" s="484"/>
      <c r="B29" s="485"/>
      <c r="C29" s="481" t="s">
        <v>354</v>
      </c>
      <c r="D29" s="481"/>
      <c r="E29" s="482" t="s">
        <v>355</v>
      </c>
      <c r="F29" s="483">
        <f>SUM(F30:F36)</f>
        <v>11500</v>
      </c>
      <c r="G29" s="498">
        <f t="shared" ref="G29" si="10">SUM(G30:G36)</f>
        <v>11445.25</v>
      </c>
      <c r="H29" s="1250">
        <f>G29/F29</f>
        <v>0.99523913043478263</v>
      </c>
    </row>
    <row r="30" spans="1:8" s="453" customFormat="1" ht="22.5" x14ac:dyDescent="0.2">
      <c r="A30" s="484"/>
      <c r="B30" s="485"/>
      <c r="C30" s="486"/>
      <c r="D30" s="487" t="s">
        <v>1148</v>
      </c>
      <c r="E30" s="488" t="s">
        <v>1161</v>
      </c>
      <c r="F30" s="489">
        <v>1000</v>
      </c>
      <c r="G30" s="514">
        <v>1000</v>
      </c>
      <c r="H30" s="1251">
        <f>G30/F30</f>
        <v>1</v>
      </c>
    </row>
    <row r="31" spans="1:8" s="453" customFormat="1" x14ac:dyDescent="0.2">
      <c r="A31" s="484"/>
      <c r="B31" s="485"/>
      <c r="C31" s="486"/>
      <c r="D31" s="487" t="s">
        <v>1138</v>
      </c>
      <c r="E31" s="488" t="s">
        <v>1162</v>
      </c>
      <c r="F31" s="489">
        <v>3000</v>
      </c>
      <c r="G31" s="514">
        <v>3000</v>
      </c>
      <c r="H31" s="1251">
        <f t="shared" ref="H31:H36" si="11">G31/F31</f>
        <v>1</v>
      </c>
    </row>
    <row r="32" spans="1:8" s="453" customFormat="1" ht="22.5" x14ac:dyDescent="0.2">
      <c r="A32" s="484"/>
      <c r="B32" s="485"/>
      <c r="C32" s="486"/>
      <c r="D32" s="490" t="s">
        <v>1142</v>
      </c>
      <c r="E32" s="488" t="s">
        <v>1163</v>
      </c>
      <c r="F32" s="492">
        <v>1500</v>
      </c>
      <c r="G32" s="1315">
        <v>1500</v>
      </c>
      <c r="H32" s="1251">
        <f t="shared" si="11"/>
        <v>1</v>
      </c>
    </row>
    <row r="33" spans="1:8" s="453" customFormat="1" x14ac:dyDescent="0.2">
      <c r="A33" s="484"/>
      <c r="B33" s="485"/>
      <c r="C33" s="486"/>
      <c r="D33" s="487" t="s">
        <v>1164</v>
      </c>
      <c r="E33" s="488" t="s">
        <v>1165</v>
      </c>
      <c r="F33" s="489">
        <v>1000</v>
      </c>
      <c r="G33" s="514">
        <v>1000</v>
      </c>
      <c r="H33" s="1251">
        <f t="shared" si="11"/>
        <v>1</v>
      </c>
    </row>
    <row r="34" spans="1:8" s="453" customFormat="1" x14ac:dyDescent="0.2">
      <c r="A34" s="484"/>
      <c r="B34" s="485"/>
      <c r="C34" s="486"/>
      <c r="D34" s="487" t="s">
        <v>1152</v>
      </c>
      <c r="E34" s="488" t="s">
        <v>1166</v>
      </c>
      <c r="F34" s="489">
        <v>1500</v>
      </c>
      <c r="G34" s="514">
        <v>1445.25</v>
      </c>
      <c r="H34" s="1251">
        <f t="shared" si="11"/>
        <v>0.96350000000000002</v>
      </c>
    </row>
    <row r="35" spans="1:8" s="453" customFormat="1" x14ac:dyDescent="0.2">
      <c r="A35" s="484"/>
      <c r="B35" s="485"/>
      <c r="C35" s="486"/>
      <c r="D35" s="490" t="s">
        <v>1156</v>
      </c>
      <c r="E35" s="468" t="s">
        <v>1167</v>
      </c>
      <c r="F35" s="489">
        <v>1500</v>
      </c>
      <c r="G35" s="514">
        <v>1500</v>
      </c>
      <c r="H35" s="1251">
        <f t="shared" si="11"/>
        <v>1</v>
      </c>
    </row>
    <row r="36" spans="1:8" s="453" customFormat="1" x14ac:dyDescent="0.2">
      <c r="A36" s="484"/>
      <c r="B36" s="485"/>
      <c r="C36" s="486"/>
      <c r="D36" s="490" t="s">
        <v>1145</v>
      </c>
      <c r="E36" s="468" t="s">
        <v>1168</v>
      </c>
      <c r="F36" s="491">
        <v>2000</v>
      </c>
      <c r="G36" s="514">
        <v>2000</v>
      </c>
      <c r="H36" s="1251">
        <f t="shared" si="11"/>
        <v>1</v>
      </c>
    </row>
    <row r="37" spans="1:8" s="441" customFormat="1" x14ac:dyDescent="0.2">
      <c r="A37" s="469" t="s">
        <v>387</v>
      </c>
      <c r="B37" s="470"/>
      <c r="C37" s="470"/>
      <c r="D37" s="470"/>
      <c r="E37" s="472" t="s">
        <v>388</v>
      </c>
      <c r="F37" s="473">
        <f>F38</f>
        <v>5000</v>
      </c>
      <c r="G37" s="1326">
        <f t="shared" ref="G37:G38" si="12">G38</f>
        <v>4999.1900000000005</v>
      </c>
      <c r="H37" s="1248">
        <f t="shared" ref="H37:H45" si="13">G37/F37</f>
        <v>0.99983800000000012</v>
      </c>
    </row>
    <row r="38" spans="1:8" s="441" customFormat="1" ht="15.75" x14ac:dyDescent="0.2">
      <c r="A38" s="474"/>
      <c r="B38" s="475" t="s">
        <v>392</v>
      </c>
      <c r="C38" s="476"/>
      <c r="D38" s="476"/>
      <c r="E38" s="477" t="s">
        <v>14</v>
      </c>
      <c r="F38" s="478">
        <f>F39</f>
        <v>5000</v>
      </c>
      <c r="G38" s="532">
        <f t="shared" si="12"/>
        <v>4999.1900000000005</v>
      </c>
      <c r="H38" s="1249">
        <f t="shared" si="13"/>
        <v>0.99983800000000012</v>
      </c>
    </row>
    <row r="39" spans="1:8" s="441" customFormat="1" x14ac:dyDescent="0.2">
      <c r="A39" s="479"/>
      <c r="B39" s="480"/>
      <c r="C39" s="481" t="s">
        <v>351</v>
      </c>
      <c r="D39" s="481"/>
      <c r="E39" s="482" t="s">
        <v>352</v>
      </c>
      <c r="F39" s="483">
        <f>F40+F41</f>
        <v>5000</v>
      </c>
      <c r="G39" s="498">
        <f t="shared" ref="G39" si="14">G40+G41</f>
        <v>4999.1900000000005</v>
      </c>
      <c r="H39" s="1250">
        <f t="shared" si="13"/>
        <v>0.99983800000000012</v>
      </c>
    </row>
    <row r="40" spans="1:8" s="453" customFormat="1" x14ac:dyDescent="0.2">
      <c r="A40" s="484"/>
      <c r="B40" s="485"/>
      <c r="C40" s="493"/>
      <c r="D40" s="487" t="s">
        <v>1169</v>
      </c>
      <c r="E40" s="488" t="s">
        <v>1170</v>
      </c>
      <c r="F40" s="489">
        <v>3000</v>
      </c>
      <c r="G40" s="1315">
        <v>3000</v>
      </c>
      <c r="H40" s="1251">
        <f t="shared" si="13"/>
        <v>1</v>
      </c>
    </row>
    <row r="41" spans="1:8" s="453" customFormat="1" x14ac:dyDescent="0.2">
      <c r="A41" s="484"/>
      <c r="B41" s="485"/>
      <c r="C41" s="493"/>
      <c r="D41" s="487" t="s">
        <v>1159</v>
      </c>
      <c r="E41" s="488" t="s">
        <v>1170</v>
      </c>
      <c r="F41" s="489">
        <v>2000</v>
      </c>
      <c r="G41" s="1315">
        <v>1999.19</v>
      </c>
      <c r="H41" s="1251">
        <f t="shared" si="13"/>
        <v>0.99959500000000001</v>
      </c>
    </row>
    <row r="42" spans="1:8" s="441" customFormat="1" ht="22.5" x14ac:dyDescent="0.2">
      <c r="A42" s="469" t="s">
        <v>93</v>
      </c>
      <c r="B42" s="470"/>
      <c r="C42" s="470"/>
      <c r="D42" s="470"/>
      <c r="E42" s="472" t="s">
        <v>1171</v>
      </c>
      <c r="F42" s="473">
        <f>F43</f>
        <v>19648.09</v>
      </c>
      <c r="G42" s="1326">
        <f t="shared" ref="G42" si="15">G43</f>
        <v>19604.510000000002</v>
      </c>
      <c r="H42" s="1248">
        <f t="shared" si="13"/>
        <v>0.9977819727006545</v>
      </c>
    </row>
    <row r="43" spans="1:8" s="441" customFormat="1" ht="15.75" x14ac:dyDescent="0.2">
      <c r="A43" s="474"/>
      <c r="B43" s="475" t="s">
        <v>96</v>
      </c>
      <c r="C43" s="476"/>
      <c r="D43" s="476"/>
      <c r="E43" s="477" t="s">
        <v>97</v>
      </c>
      <c r="F43" s="478">
        <f>F44+F48</f>
        <v>19648.09</v>
      </c>
      <c r="G43" s="532">
        <f t="shared" ref="G43" si="16">G44+G48</f>
        <v>19604.510000000002</v>
      </c>
      <c r="H43" s="1249">
        <f t="shared" si="13"/>
        <v>0.9977819727006545</v>
      </c>
    </row>
    <row r="44" spans="1:8" s="441" customFormat="1" x14ac:dyDescent="0.2">
      <c r="A44" s="479"/>
      <c r="B44" s="480"/>
      <c r="C44" s="481" t="s">
        <v>351</v>
      </c>
      <c r="D44" s="481"/>
      <c r="E44" s="482" t="s">
        <v>352</v>
      </c>
      <c r="F44" s="483">
        <f>SUM(F45:F47)</f>
        <v>9648.09</v>
      </c>
      <c r="G44" s="498">
        <f t="shared" ref="G44" si="17">SUM(G45:G47)</f>
        <v>9604.510000000002</v>
      </c>
      <c r="H44" s="1250">
        <f t="shared" si="13"/>
        <v>0.99548304379416053</v>
      </c>
    </row>
    <row r="45" spans="1:8" s="453" customFormat="1" ht="22.5" x14ac:dyDescent="0.2">
      <c r="A45" s="484"/>
      <c r="B45" s="485"/>
      <c r="C45" s="493"/>
      <c r="D45" s="487" t="s">
        <v>1148</v>
      </c>
      <c r="E45" s="488" t="s">
        <v>1172</v>
      </c>
      <c r="F45" s="489">
        <v>6148.09</v>
      </c>
      <c r="G45" s="514">
        <v>6106.68</v>
      </c>
      <c r="H45" s="1251">
        <f t="shared" si="13"/>
        <v>0.99326457485170194</v>
      </c>
    </row>
    <row r="46" spans="1:8" s="453" customFormat="1" x14ac:dyDescent="0.2">
      <c r="A46" s="484"/>
      <c r="B46" s="485"/>
      <c r="C46" s="486"/>
      <c r="D46" s="490" t="s">
        <v>1157</v>
      </c>
      <c r="E46" s="468" t="s">
        <v>1173</v>
      </c>
      <c r="F46" s="491">
        <v>2500</v>
      </c>
      <c r="G46" s="514">
        <v>2498.13</v>
      </c>
      <c r="H46" s="1251">
        <f t="shared" ref="H46:H47" si="18">G46/F46</f>
        <v>0.99925200000000003</v>
      </c>
    </row>
    <row r="47" spans="1:8" s="453" customFormat="1" x14ac:dyDescent="0.2">
      <c r="A47" s="484"/>
      <c r="B47" s="485"/>
      <c r="C47" s="486"/>
      <c r="D47" s="490" t="s">
        <v>1174</v>
      </c>
      <c r="E47" s="468" t="s">
        <v>1175</v>
      </c>
      <c r="F47" s="491">
        <v>1000</v>
      </c>
      <c r="G47" s="514">
        <v>999.7</v>
      </c>
      <c r="H47" s="1251">
        <f t="shared" si="18"/>
        <v>0.99970000000000003</v>
      </c>
    </row>
    <row r="48" spans="1:8" s="453" customFormat="1" ht="22.5" x14ac:dyDescent="0.2">
      <c r="A48" s="484"/>
      <c r="B48" s="494"/>
      <c r="C48" s="495" t="s">
        <v>360</v>
      </c>
      <c r="D48" s="496"/>
      <c r="E48" s="497" t="s">
        <v>361</v>
      </c>
      <c r="F48" s="498">
        <f>F49</f>
        <v>10000</v>
      </c>
      <c r="G48" s="499">
        <f>G49</f>
        <v>10000</v>
      </c>
      <c r="H48" s="1252">
        <f t="shared" ref="H48:H53" si="19">G48/F48</f>
        <v>1</v>
      </c>
    </row>
    <row r="49" spans="1:8" s="453" customFormat="1" x14ac:dyDescent="0.2">
      <c r="A49" s="484"/>
      <c r="B49" s="485"/>
      <c r="C49" s="486"/>
      <c r="D49" s="490" t="s">
        <v>1145</v>
      </c>
      <c r="E49" s="468" t="s">
        <v>1176</v>
      </c>
      <c r="F49" s="491">
        <v>10000</v>
      </c>
      <c r="G49" s="1327">
        <v>10000</v>
      </c>
      <c r="H49" s="1253">
        <f t="shared" si="19"/>
        <v>1</v>
      </c>
    </row>
    <row r="50" spans="1:8" s="441" customFormat="1" x14ac:dyDescent="0.2">
      <c r="A50" s="469" t="s">
        <v>184</v>
      </c>
      <c r="B50" s="470"/>
      <c r="C50" s="470"/>
      <c r="D50" s="470"/>
      <c r="E50" s="472" t="s">
        <v>185</v>
      </c>
      <c r="F50" s="473">
        <f>F51</f>
        <v>5500</v>
      </c>
      <c r="G50" s="1326">
        <f t="shared" ref="G50:G51" si="20">G51</f>
        <v>5496.96</v>
      </c>
      <c r="H50" s="1248">
        <f t="shared" si="19"/>
        <v>0.99944727272727274</v>
      </c>
    </row>
    <row r="51" spans="1:8" s="441" customFormat="1" ht="15.75" x14ac:dyDescent="0.2">
      <c r="A51" s="474"/>
      <c r="B51" s="475" t="s">
        <v>219</v>
      </c>
      <c r="C51" s="476"/>
      <c r="D51" s="476"/>
      <c r="E51" s="477" t="s">
        <v>14</v>
      </c>
      <c r="F51" s="478">
        <f>F52</f>
        <v>5500</v>
      </c>
      <c r="G51" s="532">
        <f t="shared" si="20"/>
        <v>5496.96</v>
      </c>
      <c r="H51" s="1249">
        <f t="shared" si="19"/>
        <v>0.99944727272727274</v>
      </c>
    </row>
    <row r="52" spans="1:8" s="441" customFormat="1" x14ac:dyDescent="0.2">
      <c r="A52" s="479"/>
      <c r="B52" s="480"/>
      <c r="C52" s="481" t="s">
        <v>351</v>
      </c>
      <c r="D52" s="481"/>
      <c r="E52" s="482" t="s">
        <v>352</v>
      </c>
      <c r="F52" s="483">
        <f>SUM(F53:F55)</f>
        <v>5500</v>
      </c>
      <c r="G52" s="498">
        <f t="shared" ref="G52" si="21">SUM(G53:G55)</f>
        <v>5496.96</v>
      </c>
      <c r="H52" s="1250">
        <f t="shared" si="19"/>
        <v>0.99944727272727274</v>
      </c>
    </row>
    <row r="53" spans="1:8" s="453" customFormat="1" ht="22.5" x14ac:dyDescent="0.2">
      <c r="A53" s="484"/>
      <c r="B53" s="485"/>
      <c r="C53" s="486"/>
      <c r="D53" s="487" t="s">
        <v>1148</v>
      </c>
      <c r="E53" s="488" t="s">
        <v>1177</v>
      </c>
      <c r="F53" s="489">
        <v>2500</v>
      </c>
      <c r="G53" s="1315">
        <v>2500</v>
      </c>
      <c r="H53" s="1251">
        <f t="shared" si="19"/>
        <v>1</v>
      </c>
    </row>
    <row r="54" spans="1:8" s="453" customFormat="1" ht="22.5" x14ac:dyDescent="0.2">
      <c r="A54" s="484"/>
      <c r="B54" s="485"/>
      <c r="C54" s="486"/>
      <c r="D54" s="487" t="s">
        <v>1142</v>
      </c>
      <c r="E54" s="488" t="s">
        <v>1178</v>
      </c>
      <c r="F54" s="489">
        <v>200</v>
      </c>
      <c r="G54" s="1315">
        <v>199</v>
      </c>
      <c r="H54" s="1251">
        <f t="shared" ref="H54:H55" si="22">G54/F54</f>
        <v>0.995</v>
      </c>
    </row>
    <row r="55" spans="1:8" s="453" customFormat="1" ht="45" x14ac:dyDescent="0.2">
      <c r="A55" s="484"/>
      <c r="B55" s="485"/>
      <c r="C55" s="486"/>
      <c r="D55" s="487" t="s">
        <v>1145</v>
      </c>
      <c r="E55" s="488" t="s">
        <v>1482</v>
      </c>
      <c r="F55" s="489">
        <v>2800</v>
      </c>
      <c r="G55" s="1315">
        <v>2797.96</v>
      </c>
      <c r="H55" s="1251">
        <f t="shared" si="22"/>
        <v>0.99927142857142859</v>
      </c>
    </row>
    <row r="56" spans="1:8" s="441" customFormat="1" ht="22.5" x14ac:dyDescent="0.2">
      <c r="A56" s="469" t="s">
        <v>308</v>
      </c>
      <c r="B56" s="470"/>
      <c r="C56" s="470"/>
      <c r="D56" s="470"/>
      <c r="E56" s="472" t="s">
        <v>309</v>
      </c>
      <c r="F56" s="473">
        <f>F57+F70</f>
        <v>14176</v>
      </c>
      <c r="G56" s="1326">
        <f t="shared" ref="G56" si="23">G57+G70</f>
        <v>14146.38</v>
      </c>
      <c r="H56" s="1248">
        <f t="shared" ref="H56:H61" si="24">G56/F56</f>
        <v>0.99791055304740406</v>
      </c>
    </row>
    <row r="57" spans="1:8" s="441" customFormat="1" ht="15.75" x14ac:dyDescent="0.2">
      <c r="A57" s="474"/>
      <c r="B57" s="475" t="s">
        <v>860</v>
      </c>
      <c r="C57" s="476"/>
      <c r="D57" s="476"/>
      <c r="E57" s="477" t="s">
        <v>861</v>
      </c>
      <c r="F57" s="478">
        <f>F58+F60+F67</f>
        <v>12176</v>
      </c>
      <c r="G57" s="532">
        <f t="shared" ref="G57" si="25">G58+G60+G67</f>
        <v>12146.38</v>
      </c>
      <c r="H57" s="1249">
        <f t="shared" si="24"/>
        <v>0.99756734559789739</v>
      </c>
    </row>
    <row r="58" spans="1:8" s="453" customFormat="1" x14ac:dyDescent="0.2">
      <c r="A58" s="484"/>
      <c r="B58" s="485"/>
      <c r="C58" s="481" t="s">
        <v>363</v>
      </c>
      <c r="D58" s="481"/>
      <c r="E58" s="500" t="s">
        <v>364</v>
      </c>
      <c r="F58" s="483">
        <f>SUM(F59:F59)</f>
        <v>1500</v>
      </c>
      <c r="G58" s="498">
        <f t="shared" ref="G58" si="26">SUM(G59:G59)</f>
        <v>1483.82</v>
      </c>
      <c r="H58" s="1250">
        <f t="shared" si="24"/>
        <v>0.98921333333333328</v>
      </c>
    </row>
    <row r="59" spans="1:8" s="453" customFormat="1" x14ac:dyDescent="0.2">
      <c r="A59" s="484"/>
      <c r="B59" s="485"/>
      <c r="C59" s="493"/>
      <c r="D59" s="490" t="s">
        <v>1179</v>
      </c>
      <c r="E59" s="468" t="s">
        <v>1180</v>
      </c>
      <c r="F59" s="491">
        <v>1500</v>
      </c>
      <c r="G59" s="514">
        <v>1483.82</v>
      </c>
      <c r="H59" s="1251">
        <f t="shared" si="24"/>
        <v>0.98921333333333328</v>
      </c>
    </row>
    <row r="60" spans="1:8" s="441" customFormat="1" x14ac:dyDescent="0.2">
      <c r="A60" s="479"/>
      <c r="B60" s="480"/>
      <c r="C60" s="481" t="s">
        <v>351</v>
      </c>
      <c r="D60" s="481"/>
      <c r="E60" s="482" t="s">
        <v>352</v>
      </c>
      <c r="F60" s="483">
        <f>SUM(F61:F66)</f>
        <v>10095</v>
      </c>
      <c r="G60" s="498">
        <f t="shared" ref="G60" si="27">SUM(G61:G66)</f>
        <v>10081.56</v>
      </c>
      <c r="H60" s="1250">
        <f t="shared" si="24"/>
        <v>0.99866864784546805</v>
      </c>
    </row>
    <row r="61" spans="1:8" s="441" customFormat="1" x14ac:dyDescent="0.2">
      <c r="A61" s="479"/>
      <c r="B61" s="480"/>
      <c r="C61" s="501"/>
      <c r="D61" s="490" t="s">
        <v>1181</v>
      </c>
      <c r="E61" s="468" t="s">
        <v>1182</v>
      </c>
      <c r="F61" s="491">
        <v>95</v>
      </c>
      <c r="G61" s="514">
        <v>95</v>
      </c>
      <c r="H61" s="1254">
        <f t="shared" si="24"/>
        <v>1</v>
      </c>
    </row>
    <row r="62" spans="1:8" s="441" customFormat="1" ht="33.75" x14ac:dyDescent="0.2">
      <c r="A62" s="479"/>
      <c r="B62" s="480"/>
      <c r="C62" s="501"/>
      <c r="D62" s="490" t="s">
        <v>1154</v>
      </c>
      <c r="E62" s="468" t="s">
        <v>1479</v>
      </c>
      <c r="F62" s="491">
        <v>2000</v>
      </c>
      <c r="G62" s="1315">
        <v>1989.2</v>
      </c>
      <c r="H62" s="1254">
        <f t="shared" ref="H62:H66" si="28">G62/F62</f>
        <v>0.99460000000000004</v>
      </c>
    </row>
    <row r="63" spans="1:8" s="441" customFormat="1" ht="22.5" x14ac:dyDescent="0.2">
      <c r="A63" s="479"/>
      <c r="B63" s="480"/>
      <c r="C63" s="501"/>
      <c r="D63" s="490" t="s">
        <v>1145</v>
      </c>
      <c r="E63" s="468" t="s">
        <v>1183</v>
      </c>
      <c r="F63" s="491">
        <v>1500</v>
      </c>
      <c r="G63" s="1315">
        <v>1499.48</v>
      </c>
      <c r="H63" s="1254">
        <f t="shared" si="28"/>
        <v>0.99965333333333339</v>
      </c>
    </row>
    <row r="64" spans="1:8" s="453" customFormat="1" ht="22.5" x14ac:dyDescent="0.2">
      <c r="A64" s="484"/>
      <c r="B64" s="485"/>
      <c r="C64" s="493"/>
      <c r="D64" s="487" t="s">
        <v>1174</v>
      </c>
      <c r="E64" s="488" t="s">
        <v>1184</v>
      </c>
      <c r="F64" s="489">
        <v>1500</v>
      </c>
      <c r="G64" s="1315">
        <v>1499.16</v>
      </c>
      <c r="H64" s="1254">
        <f t="shared" si="28"/>
        <v>0.99944000000000011</v>
      </c>
    </row>
    <row r="65" spans="1:8" s="453" customFormat="1" ht="22.5" x14ac:dyDescent="0.2">
      <c r="A65" s="484"/>
      <c r="B65" s="485"/>
      <c r="C65" s="486"/>
      <c r="D65" s="490" t="s">
        <v>1159</v>
      </c>
      <c r="E65" s="468" t="s">
        <v>1185</v>
      </c>
      <c r="F65" s="491">
        <v>2500</v>
      </c>
      <c r="G65" s="1315">
        <v>2499.91</v>
      </c>
      <c r="H65" s="1254">
        <f t="shared" si="28"/>
        <v>0.99996399999999996</v>
      </c>
    </row>
    <row r="66" spans="1:8" s="453" customFormat="1" x14ac:dyDescent="0.2">
      <c r="A66" s="484"/>
      <c r="B66" s="485"/>
      <c r="C66" s="486"/>
      <c r="D66" s="490" t="s">
        <v>1186</v>
      </c>
      <c r="E66" s="468" t="s">
        <v>1187</v>
      </c>
      <c r="F66" s="491">
        <v>2500</v>
      </c>
      <c r="G66" s="1315">
        <v>2498.81</v>
      </c>
      <c r="H66" s="1254">
        <f t="shared" si="28"/>
        <v>0.99952399999999997</v>
      </c>
    </row>
    <row r="67" spans="1:8" s="453" customFormat="1" x14ac:dyDescent="0.2">
      <c r="A67" s="484"/>
      <c r="B67" s="485"/>
      <c r="C67" s="502" t="s">
        <v>354</v>
      </c>
      <c r="D67" s="481"/>
      <c r="E67" s="482" t="s">
        <v>355</v>
      </c>
      <c r="F67" s="483">
        <f>F68+F69</f>
        <v>581</v>
      </c>
      <c r="G67" s="498">
        <f t="shared" ref="G67" si="29">G68+G69</f>
        <v>581</v>
      </c>
      <c r="H67" s="1250">
        <f t="shared" ref="H67:H80" si="30">G67/F67</f>
        <v>1</v>
      </c>
    </row>
    <row r="68" spans="1:8" s="453" customFormat="1" x14ac:dyDescent="0.2">
      <c r="A68" s="484"/>
      <c r="B68" s="494"/>
      <c r="C68" s="2038"/>
      <c r="D68" s="503" t="s">
        <v>1181</v>
      </c>
      <c r="E68" s="488" t="s">
        <v>1182</v>
      </c>
      <c r="F68" s="489">
        <v>81</v>
      </c>
      <c r="G68" s="514">
        <v>81</v>
      </c>
      <c r="H68" s="1251">
        <f t="shared" si="30"/>
        <v>1</v>
      </c>
    </row>
    <row r="69" spans="1:8" s="453" customFormat="1" x14ac:dyDescent="0.2">
      <c r="A69" s="504"/>
      <c r="B69" s="505"/>
      <c r="C69" s="2040"/>
      <c r="D69" s="506" t="s">
        <v>1186</v>
      </c>
      <c r="E69" s="507" t="s">
        <v>1187</v>
      </c>
      <c r="F69" s="489">
        <v>500</v>
      </c>
      <c r="G69" s="514">
        <v>500</v>
      </c>
      <c r="H69" s="1251">
        <f t="shared" si="30"/>
        <v>1</v>
      </c>
    </row>
    <row r="70" spans="1:8" s="453" customFormat="1" ht="15.75" x14ac:dyDescent="0.2">
      <c r="A70" s="474"/>
      <c r="B70" s="508" t="s">
        <v>873</v>
      </c>
      <c r="C70" s="508"/>
      <c r="D70" s="509"/>
      <c r="E70" s="477" t="s">
        <v>874</v>
      </c>
      <c r="F70" s="478">
        <f>F71</f>
        <v>2000</v>
      </c>
      <c r="G70" s="532">
        <f t="shared" ref="G70:G71" si="31">G71</f>
        <v>2000</v>
      </c>
      <c r="H70" s="1249">
        <f t="shared" si="30"/>
        <v>1</v>
      </c>
    </row>
    <row r="71" spans="1:8" s="453" customFormat="1" x14ac:dyDescent="0.2">
      <c r="A71" s="479"/>
      <c r="B71" s="510"/>
      <c r="C71" s="446" t="s">
        <v>354</v>
      </c>
      <c r="D71" s="511"/>
      <c r="E71" s="482" t="s">
        <v>355</v>
      </c>
      <c r="F71" s="483">
        <f>F72</f>
        <v>2000</v>
      </c>
      <c r="G71" s="498">
        <f t="shared" si="31"/>
        <v>2000</v>
      </c>
      <c r="H71" s="1250">
        <f t="shared" si="30"/>
        <v>1</v>
      </c>
    </row>
    <row r="72" spans="1:8" s="453" customFormat="1" x14ac:dyDescent="0.2">
      <c r="A72" s="484"/>
      <c r="B72" s="485"/>
      <c r="C72" s="512"/>
      <c r="D72" s="487" t="s">
        <v>1188</v>
      </c>
      <c r="E72" s="488" t="s">
        <v>1189</v>
      </c>
      <c r="F72" s="489">
        <v>2000</v>
      </c>
      <c r="G72" s="1315">
        <v>2000</v>
      </c>
      <c r="H72" s="1251">
        <f t="shared" si="30"/>
        <v>1</v>
      </c>
    </row>
    <row r="73" spans="1:8" s="441" customFormat="1" ht="22.5" x14ac:dyDescent="0.2">
      <c r="A73" s="469" t="s">
        <v>317</v>
      </c>
      <c r="B73" s="470"/>
      <c r="C73" s="470"/>
      <c r="D73" s="470"/>
      <c r="E73" s="472" t="s">
        <v>318</v>
      </c>
      <c r="F73" s="473">
        <f>F74+F115+F110</f>
        <v>123489.51999999999</v>
      </c>
      <c r="G73" s="1326">
        <f t="shared" ref="G73" si="32">G74+G115+G110</f>
        <v>117732.46999999999</v>
      </c>
      <c r="H73" s="1248">
        <f t="shared" si="30"/>
        <v>0.95338025445398122</v>
      </c>
    </row>
    <row r="74" spans="1:8" s="441" customFormat="1" ht="15.75" x14ac:dyDescent="0.2">
      <c r="A74" s="474"/>
      <c r="B74" s="475" t="s">
        <v>319</v>
      </c>
      <c r="C74" s="476"/>
      <c r="D74" s="476"/>
      <c r="E74" s="477" t="s">
        <v>320</v>
      </c>
      <c r="F74" s="478">
        <f>F83+F98+F100+F108+F79+F77+F75</f>
        <v>57345.99</v>
      </c>
      <c r="G74" s="532">
        <f t="shared" ref="G74" si="33">G83+G98+G100+G108+G79+G77+G75</f>
        <v>53418.319999999992</v>
      </c>
      <c r="H74" s="1249">
        <f t="shared" si="30"/>
        <v>0.93150924763876242</v>
      </c>
    </row>
    <row r="75" spans="1:8" s="441" customFormat="1" x14ac:dyDescent="0.2">
      <c r="A75" s="479"/>
      <c r="B75" s="480"/>
      <c r="C75" s="481" t="s">
        <v>345</v>
      </c>
      <c r="D75" s="481"/>
      <c r="E75" s="482" t="s">
        <v>346</v>
      </c>
      <c r="F75" s="483">
        <f>SUM(F76:F76)</f>
        <v>344</v>
      </c>
      <c r="G75" s="498">
        <f t="shared" ref="G75" si="34">SUM(G76:G76)</f>
        <v>0</v>
      </c>
      <c r="H75" s="1250">
        <f t="shared" si="30"/>
        <v>0</v>
      </c>
    </row>
    <row r="76" spans="1:8" s="453" customFormat="1" ht="22.5" x14ac:dyDescent="0.2">
      <c r="A76" s="484"/>
      <c r="B76" s="485"/>
      <c r="C76" s="493"/>
      <c r="D76" s="490" t="s">
        <v>1190</v>
      </c>
      <c r="E76" s="468" t="s">
        <v>1191</v>
      </c>
      <c r="F76" s="491">
        <v>344</v>
      </c>
      <c r="G76" s="1315">
        <v>0</v>
      </c>
      <c r="H76" s="1251">
        <f t="shared" si="30"/>
        <v>0</v>
      </c>
    </row>
    <row r="77" spans="1:8" s="453" customFormat="1" x14ac:dyDescent="0.2">
      <c r="A77" s="484"/>
      <c r="B77" s="485"/>
      <c r="C77" s="481" t="s">
        <v>348</v>
      </c>
      <c r="D77" s="481"/>
      <c r="E77" s="482" t="s">
        <v>349</v>
      </c>
      <c r="F77" s="483">
        <f>SUM(F78:F78)</f>
        <v>49</v>
      </c>
      <c r="G77" s="498">
        <f t="shared" ref="G77" si="35">SUM(G78:G78)</f>
        <v>0</v>
      </c>
      <c r="H77" s="1250">
        <f t="shared" si="30"/>
        <v>0</v>
      </c>
    </row>
    <row r="78" spans="1:8" s="453" customFormat="1" ht="22.5" x14ac:dyDescent="0.2">
      <c r="A78" s="484"/>
      <c r="B78" s="485"/>
      <c r="C78" s="493"/>
      <c r="D78" s="490" t="s">
        <v>1190</v>
      </c>
      <c r="E78" s="468" t="s">
        <v>1191</v>
      </c>
      <c r="F78" s="491">
        <v>49</v>
      </c>
      <c r="G78" s="1315">
        <v>0</v>
      </c>
      <c r="H78" s="1251">
        <f t="shared" si="30"/>
        <v>0</v>
      </c>
    </row>
    <row r="79" spans="1:8" s="453" customFormat="1" x14ac:dyDescent="0.2">
      <c r="A79" s="484"/>
      <c r="B79" s="485"/>
      <c r="C79" s="481" t="s">
        <v>363</v>
      </c>
      <c r="D79" s="481"/>
      <c r="E79" s="500" t="s">
        <v>364</v>
      </c>
      <c r="F79" s="483">
        <f>SUM(F80:F82)</f>
        <v>5000</v>
      </c>
      <c r="G79" s="498">
        <f t="shared" ref="G79" si="36">SUM(G80:G82)</f>
        <v>4752</v>
      </c>
      <c r="H79" s="1250">
        <f t="shared" si="30"/>
        <v>0.95040000000000002</v>
      </c>
    </row>
    <row r="80" spans="1:8" s="453" customFormat="1" x14ac:dyDescent="0.2">
      <c r="A80" s="484"/>
      <c r="B80" s="485"/>
      <c r="C80" s="493"/>
      <c r="D80" s="490" t="s">
        <v>1190</v>
      </c>
      <c r="E80" s="468" t="s">
        <v>1192</v>
      </c>
      <c r="F80" s="491">
        <v>2000</v>
      </c>
      <c r="G80" s="1315">
        <v>2000</v>
      </c>
      <c r="H80" s="1251">
        <f t="shared" si="30"/>
        <v>1</v>
      </c>
    </row>
    <row r="81" spans="1:8" s="453" customFormat="1" x14ac:dyDescent="0.2">
      <c r="A81" s="484"/>
      <c r="B81" s="485"/>
      <c r="C81" s="486"/>
      <c r="D81" s="490" t="s">
        <v>1174</v>
      </c>
      <c r="E81" s="468" t="s">
        <v>1193</v>
      </c>
      <c r="F81" s="491">
        <v>500</v>
      </c>
      <c r="G81" s="1315">
        <v>500</v>
      </c>
      <c r="H81" s="1251">
        <f t="shared" ref="H81:H82" si="37">G81/F81</f>
        <v>1</v>
      </c>
    </row>
    <row r="82" spans="1:8" s="453" customFormat="1" x14ac:dyDescent="0.2">
      <c r="A82" s="484"/>
      <c r="B82" s="485"/>
      <c r="C82" s="486"/>
      <c r="D82" s="490" t="s">
        <v>1159</v>
      </c>
      <c r="E82" s="468" t="s">
        <v>1193</v>
      </c>
      <c r="F82" s="491">
        <v>2500</v>
      </c>
      <c r="G82" s="1315">
        <v>2252</v>
      </c>
      <c r="H82" s="1251">
        <f t="shared" si="37"/>
        <v>0.90080000000000005</v>
      </c>
    </row>
    <row r="83" spans="1:8" s="453" customFormat="1" x14ac:dyDescent="0.2">
      <c r="A83" s="484"/>
      <c r="B83" s="485"/>
      <c r="C83" s="481" t="s">
        <v>351</v>
      </c>
      <c r="D83" s="481"/>
      <c r="E83" s="482" t="s">
        <v>352</v>
      </c>
      <c r="F83" s="483">
        <f>SUM(F84:F97)</f>
        <v>35919.46</v>
      </c>
      <c r="G83" s="498">
        <f t="shared" ref="G83" si="38">SUM(G84:G97)</f>
        <v>35605.049999999996</v>
      </c>
      <c r="H83" s="1250">
        <f>G83/F83</f>
        <v>0.99124680604886595</v>
      </c>
    </row>
    <row r="84" spans="1:8" s="453" customFormat="1" ht="22.5" x14ac:dyDescent="0.2">
      <c r="A84" s="484"/>
      <c r="B84" s="485"/>
      <c r="C84" s="493"/>
      <c r="D84" s="487" t="s">
        <v>1181</v>
      </c>
      <c r="E84" s="488" t="s">
        <v>1194</v>
      </c>
      <c r="F84" s="489">
        <v>4000</v>
      </c>
      <c r="G84" s="1315">
        <v>3999.96</v>
      </c>
      <c r="H84" s="1251">
        <f>G84/F84</f>
        <v>0.99999000000000005</v>
      </c>
    </row>
    <row r="85" spans="1:8" s="453" customFormat="1" x14ac:dyDescent="0.2">
      <c r="A85" s="484"/>
      <c r="B85" s="485"/>
      <c r="C85" s="493"/>
      <c r="D85" s="487" t="s">
        <v>1136</v>
      </c>
      <c r="E85" s="488" t="s">
        <v>1195</v>
      </c>
      <c r="F85" s="489">
        <v>2000</v>
      </c>
      <c r="G85" s="514">
        <v>1978.56</v>
      </c>
      <c r="H85" s="1251">
        <f t="shared" ref="H85:H97" si="39">G85/F85</f>
        <v>0.98927999999999994</v>
      </c>
    </row>
    <row r="86" spans="1:8" s="453" customFormat="1" ht="22.5" x14ac:dyDescent="0.2">
      <c r="A86" s="484"/>
      <c r="B86" s="485"/>
      <c r="C86" s="486"/>
      <c r="D86" s="487" t="s">
        <v>1138</v>
      </c>
      <c r="E86" s="488" t="s">
        <v>1196</v>
      </c>
      <c r="F86" s="489">
        <v>1500</v>
      </c>
      <c r="G86" s="1315">
        <v>1496.08</v>
      </c>
      <c r="H86" s="1251">
        <f t="shared" si="39"/>
        <v>0.99738666666666664</v>
      </c>
    </row>
    <row r="87" spans="1:8" s="453" customFormat="1" ht="22.5" x14ac:dyDescent="0.2">
      <c r="A87" s="484"/>
      <c r="B87" s="485"/>
      <c r="C87" s="486"/>
      <c r="D87" s="487" t="s">
        <v>1142</v>
      </c>
      <c r="E87" s="488" t="s">
        <v>1197</v>
      </c>
      <c r="F87" s="489">
        <v>300</v>
      </c>
      <c r="G87" s="1315">
        <v>105.01</v>
      </c>
      <c r="H87" s="1251">
        <f t="shared" si="39"/>
        <v>0.35003333333333336</v>
      </c>
    </row>
    <row r="88" spans="1:8" s="453" customFormat="1" ht="22.5" x14ac:dyDescent="0.2">
      <c r="A88" s="484"/>
      <c r="B88" s="485"/>
      <c r="C88" s="486"/>
      <c r="D88" s="487" t="s">
        <v>1152</v>
      </c>
      <c r="E88" s="488" t="s">
        <v>1198</v>
      </c>
      <c r="F88" s="489">
        <v>2400</v>
      </c>
      <c r="G88" s="1315">
        <v>2368.96</v>
      </c>
      <c r="H88" s="1251">
        <f t="shared" si="39"/>
        <v>0.98706666666666665</v>
      </c>
    </row>
    <row r="89" spans="1:8" s="453" customFormat="1" ht="56.25" x14ac:dyDescent="0.2">
      <c r="A89" s="484"/>
      <c r="B89" s="485"/>
      <c r="C89" s="486"/>
      <c r="D89" s="490" t="s">
        <v>1199</v>
      </c>
      <c r="E89" s="468" t="s">
        <v>1478</v>
      </c>
      <c r="F89" s="491">
        <v>3000</v>
      </c>
      <c r="G89" s="1315">
        <v>2993.12</v>
      </c>
      <c r="H89" s="1251">
        <f t="shared" si="39"/>
        <v>0.99770666666666663</v>
      </c>
    </row>
    <row r="90" spans="1:8" s="453" customFormat="1" x14ac:dyDescent="0.2">
      <c r="A90" s="484"/>
      <c r="B90" s="485"/>
      <c r="C90" s="486"/>
      <c r="D90" s="487" t="s">
        <v>1200</v>
      </c>
      <c r="E90" s="488" t="s">
        <v>1201</v>
      </c>
      <c r="F90" s="489">
        <v>3500</v>
      </c>
      <c r="G90" s="1315">
        <v>3468.6</v>
      </c>
      <c r="H90" s="1251">
        <f t="shared" si="39"/>
        <v>0.99102857142857137</v>
      </c>
    </row>
    <row r="91" spans="1:8" s="453" customFormat="1" ht="22.5" x14ac:dyDescent="0.2">
      <c r="A91" s="484"/>
      <c r="B91" s="485"/>
      <c r="C91" s="486"/>
      <c r="D91" s="487" t="s">
        <v>1154</v>
      </c>
      <c r="E91" s="488" t="s">
        <v>1202</v>
      </c>
      <c r="F91" s="489">
        <v>1300.99</v>
      </c>
      <c r="G91" s="1315">
        <v>1282.8399999999999</v>
      </c>
      <c r="H91" s="1251">
        <f t="shared" si="39"/>
        <v>0.98604908569627736</v>
      </c>
    </row>
    <row r="92" spans="1:8" s="453" customFormat="1" ht="22.5" x14ac:dyDescent="0.2">
      <c r="A92" s="484"/>
      <c r="B92" s="485"/>
      <c r="C92" s="486"/>
      <c r="D92" s="490" t="s">
        <v>1140</v>
      </c>
      <c r="E92" s="468" t="s">
        <v>1203</v>
      </c>
      <c r="F92" s="491">
        <v>2289.7800000000002</v>
      </c>
      <c r="G92" s="1315">
        <v>2289.73</v>
      </c>
      <c r="H92" s="1251">
        <f t="shared" si="39"/>
        <v>0.99997816384106764</v>
      </c>
    </row>
    <row r="93" spans="1:8" s="453" customFormat="1" x14ac:dyDescent="0.2">
      <c r="A93" s="484"/>
      <c r="B93" s="485"/>
      <c r="C93" s="486"/>
      <c r="D93" s="490" t="s">
        <v>1156</v>
      </c>
      <c r="E93" s="468" t="s">
        <v>1204</v>
      </c>
      <c r="F93" s="491">
        <v>1600</v>
      </c>
      <c r="G93" s="1315">
        <v>1597.12</v>
      </c>
      <c r="H93" s="1251">
        <f t="shared" si="39"/>
        <v>0.99819999999999998</v>
      </c>
    </row>
    <row r="94" spans="1:8" s="453" customFormat="1" x14ac:dyDescent="0.2">
      <c r="A94" s="484"/>
      <c r="B94" s="485"/>
      <c r="C94" s="486"/>
      <c r="D94" s="490" t="s">
        <v>1169</v>
      </c>
      <c r="E94" s="468" t="s">
        <v>1205</v>
      </c>
      <c r="F94" s="491">
        <v>1000</v>
      </c>
      <c r="G94" s="1315">
        <v>999.99</v>
      </c>
      <c r="H94" s="1251">
        <f t="shared" si="39"/>
        <v>0.99999000000000005</v>
      </c>
    </row>
    <row r="95" spans="1:8" s="453" customFormat="1" ht="22.5" x14ac:dyDescent="0.2">
      <c r="A95" s="484"/>
      <c r="B95" s="485"/>
      <c r="C95" s="486"/>
      <c r="D95" s="490" t="s">
        <v>1174</v>
      </c>
      <c r="E95" s="468" t="s">
        <v>1206</v>
      </c>
      <c r="F95" s="491">
        <v>2028.69</v>
      </c>
      <c r="G95" s="1315">
        <v>2026.92</v>
      </c>
      <c r="H95" s="1251">
        <f t="shared" si="39"/>
        <v>0.99912751578604908</v>
      </c>
    </row>
    <row r="96" spans="1:8" s="453" customFormat="1" ht="22.5" x14ac:dyDescent="0.2">
      <c r="A96" s="484"/>
      <c r="B96" s="485"/>
      <c r="C96" s="486"/>
      <c r="D96" s="490" t="s">
        <v>1159</v>
      </c>
      <c r="E96" s="468" t="s">
        <v>1207</v>
      </c>
      <c r="F96" s="491">
        <v>5500</v>
      </c>
      <c r="G96" s="1315">
        <v>5499.53</v>
      </c>
      <c r="H96" s="1251">
        <f t="shared" si="39"/>
        <v>0.99991454545454539</v>
      </c>
    </row>
    <row r="97" spans="1:8" s="453" customFormat="1" ht="22.5" x14ac:dyDescent="0.2">
      <c r="A97" s="484"/>
      <c r="B97" s="485"/>
      <c r="C97" s="486"/>
      <c r="D97" s="490" t="s">
        <v>1186</v>
      </c>
      <c r="E97" s="468" t="s">
        <v>1208</v>
      </c>
      <c r="F97" s="491">
        <v>5500</v>
      </c>
      <c r="G97" s="1315">
        <v>5498.63</v>
      </c>
      <c r="H97" s="1251">
        <f t="shared" si="39"/>
        <v>0.99975090909090913</v>
      </c>
    </row>
    <row r="98" spans="1:8" s="453" customFormat="1" x14ac:dyDescent="0.2">
      <c r="A98" s="484"/>
      <c r="B98" s="485"/>
      <c r="C98" s="481" t="s">
        <v>367</v>
      </c>
      <c r="D98" s="481"/>
      <c r="E98" s="482" t="s">
        <v>368</v>
      </c>
      <c r="F98" s="483">
        <f>SUM(F99:F99)</f>
        <v>0</v>
      </c>
      <c r="G98" s="498">
        <f t="shared" ref="G98" si="40">SUM(G99:G99)</f>
        <v>0</v>
      </c>
      <c r="H98" s="1250">
        <v>0</v>
      </c>
    </row>
    <row r="99" spans="1:8" s="453" customFormat="1" x14ac:dyDescent="0.2">
      <c r="A99" s="484"/>
      <c r="B99" s="485"/>
      <c r="C99" s="513"/>
      <c r="D99" s="487" t="s">
        <v>1181</v>
      </c>
      <c r="E99" s="488" t="s">
        <v>1209</v>
      </c>
      <c r="F99" s="489">
        <v>0</v>
      </c>
      <c r="G99" s="514">
        <v>0</v>
      </c>
      <c r="H99" s="1251">
        <v>0</v>
      </c>
    </row>
    <row r="100" spans="1:8" s="453" customFormat="1" x14ac:dyDescent="0.2">
      <c r="A100" s="484"/>
      <c r="B100" s="485"/>
      <c r="C100" s="481" t="s">
        <v>354</v>
      </c>
      <c r="D100" s="481"/>
      <c r="E100" s="482" t="s">
        <v>355</v>
      </c>
      <c r="F100" s="483">
        <f>SUM(F101:F107)</f>
        <v>14708.53</v>
      </c>
      <c r="G100" s="498">
        <f t="shared" ref="G100" si="41">SUM(G101:G107)</f>
        <v>11736.27</v>
      </c>
      <c r="H100" s="1264">
        <f>G100/F100</f>
        <v>0.79792270199673254</v>
      </c>
    </row>
    <row r="101" spans="1:8" s="453" customFormat="1" ht="33.75" x14ac:dyDescent="0.2">
      <c r="A101" s="484"/>
      <c r="B101" s="485"/>
      <c r="C101" s="501"/>
      <c r="D101" s="487" t="s">
        <v>1181</v>
      </c>
      <c r="E101" s="468" t="s">
        <v>1210</v>
      </c>
      <c r="F101" s="491">
        <v>4400</v>
      </c>
      <c r="G101" s="1328">
        <v>2000</v>
      </c>
      <c r="H101" s="1265">
        <f>G101/F101</f>
        <v>0.45454545454545453</v>
      </c>
    </row>
    <row r="102" spans="1:8" s="453" customFormat="1" x14ac:dyDescent="0.2">
      <c r="A102" s="484"/>
      <c r="B102" s="485"/>
      <c r="C102" s="501"/>
      <c r="D102" s="490" t="s">
        <v>1138</v>
      </c>
      <c r="E102" s="468" t="s">
        <v>1211</v>
      </c>
      <c r="F102" s="491">
        <v>500</v>
      </c>
      <c r="G102" s="1315">
        <v>0</v>
      </c>
      <c r="H102" s="1265">
        <f t="shared" ref="H102:H107" si="42">G102/F102</f>
        <v>0</v>
      </c>
    </row>
    <row r="103" spans="1:8" s="453" customFormat="1" ht="22.5" x14ac:dyDescent="0.2">
      <c r="A103" s="484"/>
      <c r="B103" s="485"/>
      <c r="C103" s="486"/>
      <c r="D103" s="487" t="s">
        <v>1142</v>
      </c>
      <c r="E103" s="488" t="s">
        <v>1212</v>
      </c>
      <c r="F103" s="489">
        <v>3008.53</v>
      </c>
      <c r="G103" s="1315">
        <v>3008</v>
      </c>
      <c r="H103" s="1265">
        <f t="shared" si="42"/>
        <v>0.99982383423133547</v>
      </c>
    </row>
    <row r="104" spans="1:8" s="453" customFormat="1" x14ac:dyDescent="0.2">
      <c r="A104" s="484"/>
      <c r="B104" s="485"/>
      <c r="C104" s="486"/>
      <c r="D104" s="487" t="s">
        <v>1200</v>
      </c>
      <c r="E104" s="488" t="s">
        <v>1201</v>
      </c>
      <c r="F104" s="489">
        <v>2500</v>
      </c>
      <c r="G104" s="1315">
        <v>2484.6</v>
      </c>
      <c r="H104" s="1265">
        <f t="shared" si="42"/>
        <v>0.99383999999999995</v>
      </c>
    </row>
    <row r="105" spans="1:8" s="453" customFormat="1" ht="22.5" x14ac:dyDescent="0.2">
      <c r="A105" s="484"/>
      <c r="B105" s="485"/>
      <c r="C105" s="486"/>
      <c r="D105" s="490" t="s">
        <v>1140</v>
      </c>
      <c r="E105" s="468" t="s">
        <v>1213</v>
      </c>
      <c r="F105" s="489">
        <v>1000</v>
      </c>
      <c r="G105" s="1315">
        <v>948.66</v>
      </c>
      <c r="H105" s="1265">
        <f t="shared" si="42"/>
        <v>0.94865999999999995</v>
      </c>
    </row>
    <row r="106" spans="1:8" s="453" customFormat="1" x14ac:dyDescent="0.2">
      <c r="A106" s="484"/>
      <c r="B106" s="485"/>
      <c r="C106" s="486"/>
      <c r="D106" s="490" t="s">
        <v>1174</v>
      </c>
      <c r="E106" s="468" t="s">
        <v>1214</v>
      </c>
      <c r="F106" s="491">
        <v>3000</v>
      </c>
      <c r="G106" s="1315">
        <v>2995.01</v>
      </c>
      <c r="H106" s="1265">
        <f t="shared" si="42"/>
        <v>0.99833666666666676</v>
      </c>
    </row>
    <row r="107" spans="1:8" s="453" customFormat="1" x14ac:dyDescent="0.2">
      <c r="A107" s="484"/>
      <c r="B107" s="485"/>
      <c r="C107" s="486"/>
      <c r="D107" s="490" t="s">
        <v>1159</v>
      </c>
      <c r="E107" s="468" t="s">
        <v>1215</v>
      </c>
      <c r="F107" s="491">
        <v>300</v>
      </c>
      <c r="G107" s="1315">
        <v>300</v>
      </c>
      <c r="H107" s="1265">
        <f t="shared" si="42"/>
        <v>1</v>
      </c>
    </row>
    <row r="108" spans="1:8" s="453" customFormat="1" x14ac:dyDescent="0.2">
      <c r="A108" s="484"/>
      <c r="B108" s="485"/>
      <c r="C108" s="481" t="s">
        <v>475</v>
      </c>
      <c r="D108" s="481"/>
      <c r="E108" s="482" t="s">
        <v>1216</v>
      </c>
      <c r="F108" s="483">
        <f>F109</f>
        <v>1325</v>
      </c>
      <c r="G108" s="498">
        <f t="shared" ref="G108" si="43">G109</f>
        <v>1325</v>
      </c>
      <c r="H108" s="1247">
        <f>G108/F108</f>
        <v>1</v>
      </c>
    </row>
    <row r="109" spans="1:8" s="453" customFormat="1" ht="22.5" x14ac:dyDescent="0.2">
      <c r="A109" s="484"/>
      <c r="B109" s="485"/>
      <c r="C109" s="490"/>
      <c r="D109" s="490" t="s">
        <v>1140</v>
      </c>
      <c r="E109" s="468" t="s">
        <v>1213</v>
      </c>
      <c r="F109" s="491">
        <v>1325</v>
      </c>
      <c r="G109" s="1315">
        <v>1325</v>
      </c>
      <c r="H109" s="1251">
        <f>G109/F109</f>
        <v>1</v>
      </c>
    </row>
    <row r="110" spans="1:8" s="453" customFormat="1" ht="15.75" x14ac:dyDescent="0.2">
      <c r="A110" s="515"/>
      <c r="B110" s="475" t="s">
        <v>897</v>
      </c>
      <c r="C110" s="476"/>
      <c r="D110" s="476"/>
      <c r="E110" s="477" t="s">
        <v>1217</v>
      </c>
      <c r="F110" s="478">
        <f>F111+F113</f>
        <v>337.9</v>
      </c>
      <c r="G110" s="532">
        <f t="shared" ref="G110" si="44">G111+G113</f>
        <v>337.9</v>
      </c>
      <c r="H110" s="1249">
        <f>G110/F110</f>
        <v>1</v>
      </c>
    </row>
    <row r="111" spans="1:8" s="453" customFormat="1" x14ac:dyDescent="0.2">
      <c r="A111" s="484"/>
      <c r="B111" s="485"/>
      <c r="C111" s="481" t="s">
        <v>351</v>
      </c>
      <c r="D111" s="481"/>
      <c r="E111" s="482" t="s">
        <v>352</v>
      </c>
      <c r="F111" s="483">
        <f>F112</f>
        <v>0</v>
      </c>
      <c r="G111" s="498">
        <f t="shared" ref="G111:G113" si="45">G112</f>
        <v>0</v>
      </c>
      <c r="H111" s="1250">
        <v>0</v>
      </c>
    </row>
    <row r="112" spans="1:8" s="453" customFormat="1" ht="22.5" x14ac:dyDescent="0.2">
      <c r="A112" s="484"/>
      <c r="B112" s="485"/>
      <c r="C112" s="516"/>
      <c r="D112" s="490" t="s">
        <v>1145</v>
      </c>
      <c r="E112" s="468" t="s">
        <v>1218</v>
      </c>
      <c r="F112" s="491">
        <v>0</v>
      </c>
      <c r="G112" s="458">
        <v>0</v>
      </c>
      <c r="H112" s="1251">
        <v>0</v>
      </c>
    </row>
    <row r="113" spans="1:8" s="453" customFormat="1" x14ac:dyDescent="0.2">
      <c r="A113" s="484"/>
      <c r="B113" s="485"/>
      <c r="C113" s="481" t="s">
        <v>573</v>
      </c>
      <c r="D113" s="481"/>
      <c r="E113" s="482" t="s">
        <v>574</v>
      </c>
      <c r="F113" s="483">
        <f>F114</f>
        <v>337.9</v>
      </c>
      <c r="G113" s="1329">
        <f t="shared" si="45"/>
        <v>337.9</v>
      </c>
      <c r="H113" s="1250">
        <f t="shared" ref="H113:H119" si="46">G113/F113</f>
        <v>1</v>
      </c>
    </row>
    <row r="114" spans="1:8" s="453" customFormat="1" ht="22.5" x14ac:dyDescent="0.2">
      <c r="A114" s="484"/>
      <c r="B114" s="485"/>
      <c r="C114" s="516"/>
      <c r="D114" s="490" t="s">
        <v>1145</v>
      </c>
      <c r="E114" s="468" t="s">
        <v>1218</v>
      </c>
      <c r="F114" s="491">
        <v>337.9</v>
      </c>
      <c r="G114" s="458">
        <v>337.9</v>
      </c>
      <c r="H114" s="1251">
        <f t="shared" si="46"/>
        <v>1</v>
      </c>
    </row>
    <row r="115" spans="1:8" s="453" customFormat="1" ht="15.75" x14ac:dyDescent="0.2">
      <c r="A115" s="515"/>
      <c r="B115" s="475" t="s">
        <v>914</v>
      </c>
      <c r="C115" s="476"/>
      <c r="D115" s="476"/>
      <c r="E115" s="477" t="s">
        <v>14</v>
      </c>
      <c r="F115" s="478">
        <f>F118+F135+F116</f>
        <v>65805.63</v>
      </c>
      <c r="G115" s="532">
        <f t="shared" ref="G115" si="47">G118+G135+G116</f>
        <v>63976.25</v>
      </c>
      <c r="H115" s="1249">
        <f t="shared" si="46"/>
        <v>0.97220025095117235</v>
      </c>
    </row>
    <row r="116" spans="1:8" s="453" customFormat="1" x14ac:dyDescent="0.2">
      <c r="A116" s="484"/>
      <c r="B116" s="480"/>
      <c r="C116" s="481" t="s">
        <v>363</v>
      </c>
      <c r="D116" s="481"/>
      <c r="E116" s="482" t="s">
        <v>364</v>
      </c>
      <c r="F116" s="483">
        <f>SUM(F117:F117)</f>
        <v>1700</v>
      </c>
      <c r="G116" s="498">
        <f t="shared" ref="G116" si="48">SUM(G117:G117)</f>
        <v>1700</v>
      </c>
      <c r="H116" s="1250">
        <f t="shared" si="46"/>
        <v>1</v>
      </c>
    </row>
    <row r="117" spans="1:8" s="453" customFormat="1" ht="22.5" x14ac:dyDescent="0.2">
      <c r="A117" s="484"/>
      <c r="B117" s="485"/>
      <c r="C117" s="486"/>
      <c r="D117" s="490" t="s">
        <v>1145</v>
      </c>
      <c r="E117" s="468" t="s">
        <v>1219</v>
      </c>
      <c r="F117" s="491">
        <v>1700</v>
      </c>
      <c r="G117" s="1315">
        <v>1700</v>
      </c>
      <c r="H117" s="1251">
        <f t="shared" si="46"/>
        <v>1</v>
      </c>
    </row>
    <row r="118" spans="1:8" s="453" customFormat="1" x14ac:dyDescent="0.2">
      <c r="A118" s="484"/>
      <c r="B118" s="485"/>
      <c r="C118" s="481" t="s">
        <v>351</v>
      </c>
      <c r="D118" s="481"/>
      <c r="E118" s="482" t="s">
        <v>352</v>
      </c>
      <c r="F118" s="483">
        <f>SUM(F119:F134)</f>
        <v>38251.780000000006</v>
      </c>
      <c r="G118" s="498">
        <f t="shared" ref="G118" si="49">SUM(G119:G134)</f>
        <v>37544.949999999997</v>
      </c>
      <c r="H118" s="1250">
        <f t="shared" si="46"/>
        <v>0.98152164422152355</v>
      </c>
    </row>
    <row r="119" spans="1:8" s="453" customFormat="1" x14ac:dyDescent="0.2">
      <c r="A119" s="484"/>
      <c r="B119" s="485"/>
      <c r="C119" s="486"/>
      <c r="D119" s="487" t="s">
        <v>1181</v>
      </c>
      <c r="E119" s="488" t="s">
        <v>1220</v>
      </c>
      <c r="F119" s="489">
        <v>1054.8399999999999</v>
      </c>
      <c r="G119" s="514">
        <v>1054.82</v>
      </c>
      <c r="H119" s="1251">
        <f t="shared" si="46"/>
        <v>0.99998103977854458</v>
      </c>
    </row>
    <row r="120" spans="1:8" s="453" customFormat="1" ht="22.5" x14ac:dyDescent="0.2">
      <c r="A120" s="484"/>
      <c r="B120" s="485"/>
      <c r="C120" s="486"/>
      <c r="D120" s="490" t="s">
        <v>1148</v>
      </c>
      <c r="E120" s="468" t="s">
        <v>1221</v>
      </c>
      <c r="F120" s="491">
        <v>1400</v>
      </c>
      <c r="G120" s="514">
        <v>1380.57</v>
      </c>
      <c r="H120" s="1251">
        <f t="shared" ref="H120:H134" si="50">G120/F120</f>
        <v>0.98612142857142848</v>
      </c>
    </row>
    <row r="121" spans="1:8" s="453" customFormat="1" x14ac:dyDescent="0.2">
      <c r="A121" s="484"/>
      <c r="B121" s="485"/>
      <c r="C121" s="486"/>
      <c r="D121" s="487" t="s">
        <v>1136</v>
      </c>
      <c r="E121" s="488" t="s">
        <v>1222</v>
      </c>
      <c r="F121" s="489">
        <v>395.59</v>
      </c>
      <c r="G121" s="514">
        <v>227.11</v>
      </c>
      <c r="H121" s="1251">
        <f t="shared" si="50"/>
        <v>0.57410450213605002</v>
      </c>
    </row>
    <row r="122" spans="1:8" s="453" customFormat="1" x14ac:dyDescent="0.2">
      <c r="A122" s="484"/>
      <c r="B122" s="485"/>
      <c r="C122" s="486"/>
      <c r="D122" s="487" t="s">
        <v>1138</v>
      </c>
      <c r="E122" s="488" t="s">
        <v>1223</v>
      </c>
      <c r="F122" s="489">
        <v>2000</v>
      </c>
      <c r="G122" s="514">
        <v>1997.77</v>
      </c>
      <c r="H122" s="1251">
        <f t="shared" si="50"/>
        <v>0.99888500000000002</v>
      </c>
    </row>
    <row r="123" spans="1:8" s="453" customFormat="1" ht="45" x14ac:dyDescent="0.2">
      <c r="A123" s="484"/>
      <c r="B123" s="485"/>
      <c r="C123" s="486"/>
      <c r="D123" s="487" t="s">
        <v>1142</v>
      </c>
      <c r="E123" s="488" t="s">
        <v>1224</v>
      </c>
      <c r="F123" s="489">
        <v>2400</v>
      </c>
      <c r="G123" s="1315">
        <v>2373.1</v>
      </c>
      <c r="H123" s="1251">
        <f t="shared" si="50"/>
        <v>0.98879166666666662</v>
      </c>
    </row>
    <row r="124" spans="1:8" s="453" customFormat="1" x14ac:dyDescent="0.2">
      <c r="A124" s="484"/>
      <c r="B124" s="485"/>
      <c r="C124" s="486"/>
      <c r="D124" s="487" t="s">
        <v>1152</v>
      </c>
      <c r="E124" s="488" t="s">
        <v>1225</v>
      </c>
      <c r="F124" s="489">
        <v>1978.35</v>
      </c>
      <c r="G124" s="1315">
        <v>1685.8</v>
      </c>
      <c r="H124" s="1251">
        <f t="shared" si="50"/>
        <v>0.85212424495160111</v>
      </c>
    </row>
    <row r="125" spans="1:8" s="453" customFormat="1" x14ac:dyDescent="0.2">
      <c r="A125" s="484"/>
      <c r="B125" s="485"/>
      <c r="C125" s="486"/>
      <c r="D125" s="490" t="s">
        <v>1199</v>
      </c>
      <c r="E125" s="468" t="s">
        <v>1225</v>
      </c>
      <c r="F125" s="491">
        <v>3613.55</v>
      </c>
      <c r="G125" s="1315">
        <v>3594.24</v>
      </c>
      <c r="H125" s="1251">
        <f t="shared" si="50"/>
        <v>0.99465622448838387</v>
      </c>
    </row>
    <row r="126" spans="1:8" s="453" customFormat="1" x14ac:dyDescent="0.2">
      <c r="A126" s="484"/>
      <c r="B126" s="485"/>
      <c r="C126" s="486"/>
      <c r="D126" s="487" t="s">
        <v>1200</v>
      </c>
      <c r="E126" s="488" t="s">
        <v>1226</v>
      </c>
      <c r="F126" s="489">
        <v>916.5</v>
      </c>
      <c r="G126" s="1315">
        <v>811.92</v>
      </c>
      <c r="H126" s="1251">
        <f t="shared" si="50"/>
        <v>0.88589198036006545</v>
      </c>
    </row>
    <row r="127" spans="1:8" s="453" customFormat="1" ht="45" x14ac:dyDescent="0.2">
      <c r="A127" s="484"/>
      <c r="B127" s="485"/>
      <c r="C127" s="486"/>
      <c r="D127" s="487" t="s">
        <v>1154</v>
      </c>
      <c r="E127" s="488" t="s">
        <v>1480</v>
      </c>
      <c r="F127" s="489">
        <v>3545</v>
      </c>
      <c r="G127" s="1315">
        <f>1996.73+1498.18</f>
        <v>3494.91</v>
      </c>
      <c r="H127" s="1251">
        <f t="shared" si="50"/>
        <v>0.98587023977432997</v>
      </c>
    </row>
    <row r="128" spans="1:8" s="453" customFormat="1" ht="22.5" x14ac:dyDescent="0.2">
      <c r="A128" s="484"/>
      <c r="B128" s="485"/>
      <c r="C128" s="486"/>
      <c r="D128" s="487" t="s">
        <v>1140</v>
      </c>
      <c r="E128" s="488" t="s">
        <v>1227</v>
      </c>
      <c r="F128" s="489">
        <v>1500</v>
      </c>
      <c r="G128" s="1315">
        <v>1500</v>
      </c>
      <c r="H128" s="1251">
        <f t="shared" si="50"/>
        <v>1</v>
      </c>
    </row>
    <row r="129" spans="1:8" s="453" customFormat="1" ht="22.5" x14ac:dyDescent="0.2">
      <c r="A129" s="484"/>
      <c r="B129" s="485"/>
      <c r="C129" s="486"/>
      <c r="D129" s="490" t="s">
        <v>1145</v>
      </c>
      <c r="E129" s="468" t="s">
        <v>1228</v>
      </c>
      <c r="F129" s="491">
        <v>4400</v>
      </c>
      <c r="G129" s="1315">
        <v>4398</v>
      </c>
      <c r="H129" s="1251">
        <f t="shared" si="50"/>
        <v>0.99954545454545451</v>
      </c>
    </row>
    <row r="130" spans="1:8" s="453" customFormat="1" x14ac:dyDescent="0.2">
      <c r="A130" s="484"/>
      <c r="B130" s="485"/>
      <c r="C130" s="486"/>
      <c r="D130" s="490" t="s">
        <v>1157</v>
      </c>
      <c r="E130" s="468" t="s">
        <v>1229</v>
      </c>
      <c r="F130" s="491">
        <v>5500</v>
      </c>
      <c r="G130" s="1315">
        <v>5492.76</v>
      </c>
      <c r="H130" s="1251">
        <f t="shared" si="50"/>
        <v>0.99868363636363644</v>
      </c>
    </row>
    <row r="131" spans="1:8" s="453" customFormat="1" ht="45" x14ac:dyDescent="0.2">
      <c r="A131" s="484"/>
      <c r="B131" s="485"/>
      <c r="C131" s="486"/>
      <c r="D131" s="490" t="s">
        <v>1169</v>
      </c>
      <c r="E131" s="468" t="s">
        <v>1483</v>
      </c>
      <c r="F131" s="491">
        <v>2653.13</v>
      </c>
      <c r="G131" s="1315">
        <v>2651.67</v>
      </c>
      <c r="H131" s="1251">
        <f t="shared" si="50"/>
        <v>0.99944970657299115</v>
      </c>
    </row>
    <row r="132" spans="1:8" s="453" customFormat="1" x14ac:dyDescent="0.2">
      <c r="A132" s="484"/>
      <c r="B132" s="485"/>
      <c r="C132" s="486"/>
      <c r="D132" s="490" t="s">
        <v>1174</v>
      </c>
      <c r="E132" s="468" t="s">
        <v>1230</v>
      </c>
      <c r="F132" s="491">
        <v>1500</v>
      </c>
      <c r="G132" s="1315">
        <v>1499.05</v>
      </c>
      <c r="H132" s="1251">
        <f t="shared" si="50"/>
        <v>0.99936666666666663</v>
      </c>
    </row>
    <row r="133" spans="1:8" s="453" customFormat="1" x14ac:dyDescent="0.2">
      <c r="A133" s="484"/>
      <c r="B133" s="485"/>
      <c r="C133" s="486"/>
      <c r="D133" s="490" t="s">
        <v>1159</v>
      </c>
      <c r="E133" s="468" t="s">
        <v>1231</v>
      </c>
      <c r="F133" s="491">
        <v>2394.8200000000002</v>
      </c>
      <c r="G133" s="1315">
        <v>2393.87</v>
      </c>
      <c r="H133" s="1251">
        <f t="shared" si="50"/>
        <v>0.99960331047844919</v>
      </c>
    </row>
    <row r="134" spans="1:8" s="453" customFormat="1" ht="22.5" x14ac:dyDescent="0.2">
      <c r="A134" s="484"/>
      <c r="B134" s="485"/>
      <c r="C134" s="486"/>
      <c r="D134" s="490" t="s">
        <v>1186</v>
      </c>
      <c r="E134" s="468" t="s">
        <v>1232</v>
      </c>
      <c r="F134" s="491">
        <v>3000</v>
      </c>
      <c r="G134" s="1315">
        <v>2989.36</v>
      </c>
      <c r="H134" s="1251">
        <f t="shared" si="50"/>
        <v>0.99645333333333341</v>
      </c>
    </row>
    <row r="135" spans="1:8" s="453" customFormat="1" x14ac:dyDescent="0.2">
      <c r="A135" s="484"/>
      <c r="B135" s="485"/>
      <c r="C135" s="481" t="s">
        <v>354</v>
      </c>
      <c r="D135" s="481"/>
      <c r="E135" s="482" t="s">
        <v>355</v>
      </c>
      <c r="F135" s="483">
        <f>SUM(F136:F146)</f>
        <v>25853.85</v>
      </c>
      <c r="G135" s="498">
        <f t="shared" ref="G135" si="51">SUM(G136:G146)</f>
        <v>24731.300000000003</v>
      </c>
      <c r="H135" s="1250">
        <f>G135/F135</f>
        <v>0.95658093475439843</v>
      </c>
    </row>
    <row r="136" spans="1:8" s="453" customFormat="1" x14ac:dyDescent="0.2">
      <c r="A136" s="484"/>
      <c r="B136" s="485"/>
      <c r="C136" s="486"/>
      <c r="D136" s="487" t="s">
        <v>1181</v>
      </c>
      <c r="E136" s="488" t="s">
        <v>1233</v>
      </c>
      <c r="F136" s="489">
        <v>3300</v>
      </c>
      <c r="G136" s="1315">
        <v>3300</v>
      </c>
      <c r="H136" s="1251">
        <f>G136/F136</f>
        <v>1</v>
      </c>
    </row>
    <row r="137" spans="1:8" s="453" customFormat="1" x14ac:dyDescent="0.2">
      <c r="A137" s="484"/>
      <c r="B137" s="485"/>
      <c r="C137" s="486"/>
      <c r="D137" s="490" t="s">
        <v>1148</v>
      </c>
      <c r="E137" s="468" t="s">
        <v>1229</v>
      </c>
      <c r="F137" s="491">
        <v>1500</v>
      </c>
      <c r="G137" s="1315">
        <v>1499</v>
      </c>
      <c r="H137" s="1251">
        <f>G137/F137</f>
        <v>0.9993333333333333</v>
      </c>
    </row>
    <row r="138" spans="1:8" s="453" customFormat="1" x14ac:dyDescent="0.2">
      <c r="A138" s="484"/>
      <c r="B138" s="485"/>
      <c r="C138" s="486"/>
      <c r="D138" s="490" t="s">
        <v>1136</v>
      </c>
      <c r="E138" s="488" t="s">
        <v>1222</v>
      </c>
      <c r="F138" s="491">
        <v>0</v>
      </c>
      <c r="G138" s="1315">
        <v>0</v>
      </c>
      <c r="H138" s="1251">
        <v>0</v>
      </c>
    </row>
    <row r="139" spans="1:8" s="453" customFormat="1" x14ac:dyDescent="0.2">
      <c r="A139" s="484"/>
      <c r="B139" s="485"/>
      <c r="C139" s="486"/>
      <c r="D139" s="487" t="s">
        <v>1138</v>
      </c>
      <c r="E139" s="488" t="s">
        <v>1229</v>
      </c>
      <c r="F139" s="489">
        <v>2000</v>
      </c>
      <c r="G139" s="1315">
        <v>1264.94</v>
      </c>
      <c r="H139" s="1251">
        <f t="shared" ref="H139:H146" si="52">G139/F139</f>
        <v>0.63246999999999998</v>
      </c>
    </row>
    <row r="140" spans="1:8" s="453" customFormat="1" ht="33.75" x14ac:dyDescent="0.2">
      <c r="A140" s="484"/>
      <c r="B140" s="485"/>
      <c r="C140" s="486"/>
      <c r="D140" s="487" t="s">
        <v>1142</v>
      </c>
      <c r="E140" s="488" t="s">
        <v>1234</v>
      </c>
      <c r="F140" s="489">
        <v>1100</v>
      </c>
      <c r="G140" s="1315">
        <v>1100</v>
      </c>
      <c r="H140" s="1251">
        <f t="shared" si="52"/>
        <v>1</v>
      </c>
    </row>
    <row r="141" spans="1:8" s="453" customFormat="1" x14ac:dyDescent="0.2">
      <c r="A141" s="484"/>
      <c r="B141" s="485"/>
      <c r="C141" s="486"/>
      <c r="D141" s="487" t="s">
        <v>1152</v>
      </c>
      <c r="E141" s="488" t="s">
        <v>1222</v>
      </c>
      <c r="F141" s="489">
        <v>1000</v>
      </c>
      <c r="G141" s="1315">
        <v>1000</v>
      </c>
      <c r="H141" s="1251">
        <f t="shared" si="52"/>
        <v>1</v>
      </c>
    </row>
    <row r="142" spans="1:8" s="453" customFormat="1" x14ac:dyDescent="0.2">
      <c r="A142" s="484"/>
      <c r="B142" s="485"/>
      <c r="C142" s="486"/>
      <c r="D142" s="490" t="s">
        <v>1199</v>
      </c>
      <c r="E142" s="468" t="s">
        <v>1225</v>
      </c>
      <c r="F142" s="491">
        <v>4000</v>
      </c>
      <c r="G142" s="1315">
        <v>3998.5</v>
      </c>
      <c r="H142" s="1251">
        <f t="shared" si="52"/>
        <v>0.99962499999999999</v>
      </c>
    </row>
    <row r="143" spans="1:8" s="453" customFormat="1" ht="33.75" x14ac:dyDescent="0.2">
      <c r="A143" s="484"/>
      <c r="B143" s="485"/>
      <c r="C143" s="486"/>
      <c r="D143" s="487" t="s">
        <v>1169</v>
      </c>
      <c r="E143" s="468" t="s">
        <v>1484</v>
      </c>
      <c r="F143" s="489">
        <v>5000</v>
      </c>
      <c r="G143" s="1315">
        <v>4968</v>
      </c>
      <c r="H143" s="1251">
        <f t="shared" si="52"/>
        <v>0.99360000000000004</v>
      </c>
    </row>
    <row r="144" spans="1:8" s="453" customFormat="1" x14ac:dyDescent="0.2">
      <c r="A144" s="484"/>
      <c r="B144" s="485"/>
      <c r="C144" s="486"/>
      <c r="D144" s="490" t="s">
        <v>1174</v>
      </c>
      <c r="E144" s="488" t="s">
        <v>1229</v>
      </c>
      <c r="F144" s="491">
        <v>2500</v>
      </c>
      <c r="G144" s="1315">
        <v>2500</v>
      </c>
      <c r="H144" s="1251">
        <f t="shared" si="52"/>
        <v>1</v>
      </c>
    </row>
    <row r="145" spans="1:8" s="453" customFormat="1" x14ac:dyDescent="0.2">
      <c r="A145" s="484"/>
      <c r="B145" s="485"/>
      <c r="C145" s="486"/>
      <c r="D145" s="490" t="s">
        <v>1159</v>
      </c>
      <c r="E145" s="468" t="s">
        <v>1231</v>
      </c>
      <c r="F145" s="491">
        <v>2000</v>
      </c>
      <c r="G145" s="1315">
        <v>1999.4</v>
      </c>
      <c r="H145" s="1251">
        <f t="shared" si="52"/>
        <v>0.99970000000000003</v>
      </c>
    </row>
    <row r="146" spans="1:8" s="453" customFormat="1" ht="33.75" x14ac:dyDescent="0.2">
      <c r="A146" s="484"/>
      <c r="B146" s="485"/>
      <c r="C146" s="486"/>
      <c r="D146" s="490" t="s">
        <v>1186</v>
      </c>
      <c r="E146" s="468" t="s">
        <v>1235</v>
      </c>
      <c r="F146" s="491">
        <v>3453.85</v>
      </c>
      <c r="G146" s="1315">
        <v>3101.46</v>
      </c>
      <c r="H146" s="1251">
        <f t="shared" si="52"/>
        <v>0.89797182853916646</v>
      </c>
    </row>
    <row r="147" spans="1:8" s="453" customFormat="1" x14ac:dyDescent="0.2">
      <c r="A147" s="469" t="s">
        <v>321</v>
      </c>
      <c r="B147" s="470"/>
      <c r="C147" s="470"/>
      <c r="D147" s="470"/>
      <c r="E147" s="472" t="s">
        <v>322</v>
      </c>
      <c r="F147" s="473">
        <f>F153+F148</f>
        <v>56700</v>
      </c>
      <c r="G147" s="1326">
        <f t="shared" ref="G147" si="53">G153+G148</f>
        <v>56064.37</v>
      </c>
      <c r="H147" s="1248">
        <f t="shared" ref="H147:H157" si="54">G147/F147</f>
        <v>0.98878959435626101</v>
      </c>
    </row>
    <row r="148" spans="1:8" s="521" customFormat="1" x14ac:dyDescent="0.2">
      <c r="A148" s="517"/>
      <c r="B148" s="518" t="s">
        <v>323</v>
      </c>
      <c r="C148" s="518"/>
      <c r="D148" s="518"/>
      <c r="E148" s="519" t="s">
        <v>324</v>
      </c>
      <c r="F148" s="520">
        <f>F149+F151</f>
        <v>13500</v>
      </c>
      <c r="G148" s="1330">
        <f t="shared" ref="G148" si="55">G149+G151</f>
        <v>13462.12</v>
      </c>
      <c r="H148" s="1255">
        <f t="shared" si="54"/>
        <v>0.99719407407407412</v>
      </c>
    </row>
    <row r="149" spans="1:8" s="521" customFormat="1" ht="22.5" x14ac:dyDescent="0.2">
      <c r="A149" s="517"/>
      <c r="B149" s="522"/>
      <c r="C149" s="523" t="s">
        <v>360</v>
      </c>
      <c r="D149" s="523"/>
      <c r="E149" s="524" t="s">
        <v>361</v>
      </c>
      <c r="F149" s="525">
        <f>F150</f>
        <v>7000</v>
      </c>
      <c r="G149" s="1331">
        <f t="shared" ref="G149" si="56">G150</f>
        <v>6984.85</v>
      </c>
      <c r="H149" s="1256">
        <f t="shared" si="54"/>
        <v>0.99783571428571438</v>
      </c>
    </row>
    <row r="150" spans="1:8" s="521" customFormat="1" ht="22.5" x14ac:dyDescent="0.2">
      <c r="A150" s="517"/>
      <c r="B150" s="526"/>
      <c r="C150" s="523"/>
      <c r="D150" s="527" t="s">
        <v>1136</v>
      </c>
      <c r="E150" s="528" t="s">
        <v>1236</v>
      </c>
      <c r="F150" s="529">
        <v>7000</v>
      </c>
      <c r="G150" s="530">
        <v>6984.85</v>
      </c>
      <c r="H150" s="1257">
        <f t="shared" si="54"/>
        <v>0.99783571428571438</v>
      </c>
    </row>
    <row r="151" spans="1:8" s="521" customFormat="1" ht="22.5" x14ac:dyDescent="0.2">
      <c r="A151" s="517"/>
      <c r="B151" s="526"/>
      <c r="C151" s="523" t="s">
        <v>395</v>
      </c>
      <c r="D151" s="523"/>
      <c r="E151" s="524" t="s">
        <v>396</v>
      </c>
      <c r="F151" s="525">
        <f>F152</f>
        <v>6500</v>
      </c>
      <c r="G151" s="1331">
        <f t="shared" ref="G151" si="57">G152</f>
        <v>6477.27</v>
      </c>
      <c r="H151" s="1256">
        <f t="shared" si="54"/>
        <v>0.99650307692307694</v>
      </c>
    </row>
    <row r="152" spans="1:8" s="521" customFormat="1" ht="24.75" customHeight="1" x14ac:dyDescent="0.2">
      <c r="A152" s="517"/>
      <c r="B152" s="531"/>
      <c r="C152" s="523"/>
      <c r="D152" s="523" t="s">
        <v>1157</v>
      </c>
      <c r="E152" s="528" t="s">
        <v>1237</v>
      </c>
      <c r="F152" s="529">
        <v>6500</v>
      </c>
      <c r="G152" s="530">
        <v>6477.27</v>
      </c>
      <c r="H152" s="1257">
        <f t="shared" si="54"/>
        <v>0.99650307692307694</v>
      </c>
    </row>
    <row r="153" spans="1:8" s="453" customFormat="1" ht="15.75" x14ac:dyDescent="0.2">
      <c r="A153" s="474"/>
      <c r="B153" s="475" t="s">
        <v>325</v>
      </c>
      <c r="C153" s="476"/>
      <c r="D153" s="476"/>
      <c r="E153" s="477" t="s">
        <v>14</v>
      </c>
      <c r="F153" s="478">
        <f>F169+F156+F154</f>
        <v>43200</v>
      </c>
      <c r="G153" s="532">
        <f t="shared" ref="G153" si="58">G169+G156+G154</f>
        <v>42602.25</v>
      </c>
      <c r="H153" s="1249">
        <f t="shared" si="54"/>
        <v>0.98616319444444445</v>
      </c>
    </row>
    <row r="154" spans="1:8" s="453" customFormat="1" ht="15" x14ac:dyDescent="0.2">
      <c r="A154" s="474"/>
      <c r="B154" s="526"/>
      <c r="C154" s="533" t="s">
        <v>363</v>
      </c>
      <c r="D154" s="533"/>
      <c r="E154" s="534" t="s">
        <v>364</v>
      </c>
      <c r="F154" s="525">
        <f>F155</f>
        <v>2000</v>
      </c>
      <c r="G154" s="1331">
        <f t="shared" ref="G154" si="59">G155</f>
        <v>2000</v>
      </c>
      <c r="H154" s="1256">
        <f t="shared" si="54"/>
        <v>1</v>
      </c>
    </row>
    <row r="155" spans="1:8" s="453" customFormat="1" ht="15.75" x14ac:dyDescent="0.2">
      <c r="A155" s="474"/>
      <c r="B155" s="526"/>
      <c r="C155" s="535"/>
      <c r="D155" s="536" t="s">
        <v>1157</v>
      </c>
      <c r="E155" s="537" t="s">
        <v>1238</v>
      </c>
      <c r="F155" s="529">
        <v>2000</v>
      </c>
      <c r="G155" s="1315">
        <v>2000</v>
      </c>
      <c r="H155" s="1258">
        <f t="shared" si="54"/>
        <v>1</v>
      </c>
    </row>
    <row r="156" spans="1:8" s="453" customFormat="1" x14ac:dyDescent="0.2">
      <c r="A156" s="479"/>
      <c r="B156" s="480"/>
      <c r="C156" s="481" t="s">
        <v>351</v>
      </c>
      <c r="D156" s="481"/>
      <c r="E156" s="482" t="s">
        <v>352</v>
      </c>
      <c r="F156" s="483">
        <f>SUM(F157:F168)</f>
        <v>39200</v>
      </c>
      <c r="G156" s="498">
        <f t="shared" ref="G156" si="60">SUM(G157:G168)</f>
        <v>39102.25</v>
      </c>
      <c r="H156" s="1250">
        <f t="shared" si="54"/>
        <v>0.99750637755102045</v>
      </c>
    </row>
    <row r="157" spans="1:8" s="453" customFormat="1" x14ac:dyDescent="0.2">
      <c r="A157" s="484"/>
      <c r="B157" s="485"/>
      <c r="C157" s="486"/>
      <c r="D157" s="490" t="s">
        <v>1148</v>
      </c>
      <c r="E157" s="538" t="s">
        <v>1239</v>
      </c>
      <c r="F157" s="491">
        <v>800</v>
      </c>
      <c r="G157" s="514">
        <v>796.05</v>
      </c>
      <c r="H157" s="1251">
        <f t="shared" si="54"/>
        <v>0.99506249999999996</v>
      </c>
    </row>
    <row r="158" spans="1:8" s="453" customFormat="1" x14ac:dyDescent="0.2">
      <c r="A158" s="484"/>
      <c r="B158" s="485"/>
      <c r="C158" s="486"/>
      <c r="D158" s="487" t="s">
        <v>1136</v>
      </c>
      <c r="E158" s="488" t="s">
        <v>1240</v>
      </c>
      <c r="F158" s="489">
        <v>2500</v>
      </c>
      <c r="G158" s="1315">
        <v>2499.33</v>
      </c>
      <c r="H158" s="1251">
        <f t="shared" ref="H158:H168" si="61">G158/F158</f>
        <v>0.99973199999999995</v>
      </c>
    </row>
    <row r="159" spans="1:8" s="453" customFormat="1" ht="22.5" x14ac:dyDescent="0.2">
      <c r="A159" s="484"/>
      <c r="B159" s="485"/>
      <c r="C159" s="486"/>
      <c r="D159" s="487" t="s">
        <v>1138</v>
      </c>
      <c r="E159" s="488" t="s">
        <v>1241</v>
      </c>
      <c r="F159" s="489">
        <v>2500</v>
      </c>
      <c r="G159" s="1315">
        <v>2495.52</v>
      </c>
      <c r="H159" s="1251">
        <f t="shared" si="61"/>
        <v>0.99820799999999998</v>
      </c>
    </row>
    <row r="160" spans="1:8" s="453" customFormat="1" x14ac:dyDescent="0.2">
      <c r="A160" s="484"/>
      <c r="B160" s="485"/>
      <c r="C160" s="486"/>
      <c r="D160" s="487" t="s">
        <v>1142</v>
      </c>
      <c r="E160" s="488" t="s">
        <v>1240</v>
      </c>
      <c r="F160" s="489">
        <v>700</v>
      </c>
      <c r="G160" s="514">
        <v>683</v>
      </c>
      <c r="H160" s="1251">
        <f t="shared" si="61"/>
        <v>0.97571428571428576</v>
      </c>
    </row>
    <row r="161" spans="1:8" s="453" customFormat="1" x14ac:dyDescent="0.2">
      <c r="A161" s="484"/>
      <c r="B161" s="485"/>
      <c r="C161" s="486"/>
      <c r="D161" s="487" t="s">
        <v>1152</v>
      </c>
      <c r="E161" s="488" t="s">
        <v>1242</v>
      </c>
      <c r="F161" s="489">
        <v>1100</v>
      </c>
      <c r="G161" s="514">
        <v>1057.44</v>
      </c>
      <c r="H161" s="1251">
        <f t="shared" si="61"/>
        <v>0.961309090909091</v>
      </c>
    </row>
    <row r="162" spans="1:8" s="453" customFormat="1" ht="22.5" x14ac:dyDescent="0.2">
      <c r="A162" s="484"/>
      <c r="B162" s="485"/>
      <c r="C162" s="486"/>
      <c r="D162" s="490" t="s">
        <v>1199</v>
      </c>
      <c r="E162" s="468" t="s">
        <v>1243</v>
      </c>
      <c r="F162" s="491">
        <v>4500</v>
      </c>
      <c r="G162" s="1315">
        <v>4489.75</v>
      </c>
      <c r="H162" s="1251">
        <f t="shared" si="61"/>
        <v>0.99772222222222218</v>
      </c>
    </row>
    <row r="163" spans="1:8" s="453" customFormat="1" x14ac:dyDescent="0.2">
      <c r="A163" s="484"/>
      <c r="B163" s="485"/>
      <c r="C163" s="486"/>
      <c r="D163" s="490" t="s">
        <v>1156</v>
      </c>
      <c r="E163" s="468" t="s">
        <v>1244</v>
      </c>
      <c r="F163" s="491">
        <v>1000</v>
      </c>
      <c r="G163" s="514">
        <v>989.62</v>
      </c>
      <c r="H163" s="1251">
        <f t="shared" si="61"/>
        <v>0.98962000000000006</v>
      </c>
    </row>
    <row r="164" spans="1:8" s="453" customFormat="1" ht="33.75" x14ac:dyDescent="0.2">
      <c r="A164" s="484"/>
      <c r="B164" s="485"/>
      <c r="C164" s="486"/>
      <c r="D164" s="490" t="s">
        <v>1140</v>
      </c>
      <c r="E164" s="468" t="s">
        <v>1245</v>
      </c>
      <c r="F164" s="491">
        <v>10000</v>
      </c>
      <c r="G164" s="1315">
        <v>9999.5300000000007</v>
      </c>
      <c r="H164" s="1251">
        <f t="shared" si="61"/>
        <v>0.99995300000000009</v>
      </c>
    </row>
    <row r="165" spans="1:8" s="453" customFormat="1" ht="22.5" x14ac:dyDescent="0.2">
      <c r="A165" s="484"/>
      <c r="B165" s="485"/>
      <c r="C165" s="486"/>
      <c r="D165" s="490" t="s">
        <v>1145</v>
      </c>
      <c r="E165" s="468" t="s">
        <v>1246</v>
      </c>
      <c r="F165" s="491">
        <v>4600</v>
      </c>
      <c r="G165" s="1315">
        <v>4599.8900000000003</v>
      </c>
      <c r="H165" s="1251">
        <f t="shared" si="61"/>
        <v>0.99997608695652185</v>
      </c>
    </row>
    <row r="166" spans="1:8" s="453" customFormat="1" ht="67.5" x14ac:dyDescent="0.2">
      <c r="A166" s="484"/>
      <c r="B166" s="485"/>
      <c r="C166" s="486"/>
      <c r="D166" s="490" t="s">
        <v>1157</v>
      </c>
      <c r="E166" s="468" t="s">
        <v>1247</v>
      </c>
      <c r="F166" s="491">
        <v>7500</v>
      </c>
      <c r="G166" s="1315">
        <v>7498.29</v>
      </c>
      <c r="H166" s="1251">
        <f t="shared" si="61"/>
        <v>0.99977199999999999</v>
      </c>
    </row>
    <row r="167" spans="1:8" s="453" customFormat="1" ht="22.5" x14ac:dyDescent="0.2">
      <c r="A167" s="484"/>
      <c r="B167" s="485"/>
      <c r="C167" s="486"/>
      <c r="D167" s="490" t="s">
        <v>1169</v>
      </c>
      <c r="E167" s="468" t="s">
        <v>1248</v>
      </c>
      <c r="F167" s="491">
        <v>3000</v>
      </c>
      <c r="G167" s="1315">
        <v>2994.21</v>
      </c>
      <c r="H167" s="1251">
        <f t="shared" si="61"/>
        <v>0.99807000000000001</v>
      </c>
    </row>
    <row r="168" spans="1:8" s="453" customFormat="1" ht="22.5" x14ac:dyDescent="0.2">
      <c r="A168" s="484"/>
      <c r="B168" s="485"/>
      <c r="C168" s="486"/>
      <c r="D168" s="490" t="s">
        <v>1159</v>
      </c>
      <c r="E168" s="539" t="s">
        <v>1249</v>
      </c>
      <c r="F168" s="491">
        <v>1000</v>
      </c>
      <c r="G168" s="1315">
        <v>999.62</v>
      </c>
      <c r="H168" s="1251">
        <f t="shared" si="61"/>
        <v>0.99961999999999995</v>
      </c>
    </row>
    <row r="169" spans="1:8" s="453" customFormat="1" x14ac:dyDescent="0.2">
      <c r="A169" s="484"/>
      <c r="B169" s="485"/>
      <c r="C169" s="481" t="s">
        <v>354</v>
      </c>
      <c r="D169" s="481"/>
      <c r="E169" s="482" t="s">
        <v>355</v>
      </c>
      <c r="F169" s="483">
        <f>SUM(F170:F172)</f>
        <v>2000</v>
      </c>
      <c r="G169" s="498">
        <f t="shared" ref="G169" si="62">SUM(G170:G172)</f>
        <v>1500</v>
      </c>
      <c r="H169" s="1250">
        <f>G169/F169</f>
        <v>0.75</v>
      </c>
    </row>
    <row r="170" spans="1:8" s="453" customFormat="1" ht="22.5" x14ac:dyDescent="0.2">
      <c r="A170" s="484"/>
      <c r="B170" s="485"/>
      <c r="C170" s="486"/>
      <c r="D170" s="490" t="s">
        <v>1136</v>
      </c>
      <c r="E170" s="468" t="s">
        <v>1250</v>
      </c>
      <c r="F170" s="491">
        <v>500</v>
      </c>
      <c r="G170" s="1315">
        <v>500</v>
      </c>
      <c r="H170" s="1251">
        <f>G170/F170</f>
        <v>1</v>
      </c>
    </row>
    <row r="171" spans="1:8" s="453" customFormat="1" ht="22.5" x14ac:dyDescent="0.2">
      <c r="A171" s="484"/>
      <c r="B171" s="485"/>
      <c r="C171" s="486"/>
      <c r="D171" s="487" t="s">
        <v>1138</v>
      </c>
      <c r="E171" s="488" t="s">
        <v>1241</v>
      </c>
      <c r="F171" s="489">
        <v>1000</v>
      </c>
      <c r="G171" s="1315">
        <v>1000</v>
      </c>
      <c r="H171" s="1251">
        <f t="shared" ref="H171:H172" si="63">G171/F171</f>
        <v>1</v>
      </c>
    </row>
    <row r="172" spans="1:8" s="453" customFormat="1" x14ac:dyDescent="0.2">
      <c r="A172" s="484"/>
      <c r="B172" s="485"/>
      <c r="C172" s="486"/>
      <c r="D172" s="540" t="s">
        <v>1152</v>
      </c>
      <c r="E172" s="541" t="s">
        <v>1251</v>
      </c>
      <c r="F172" s="489">
        <v>500</v>
      </c>
      <c r="G172" s="1315"/>
      <c r="H172" s="1251">
        <f t="shared" si="63"/>
        <v>0</v>
      </c>
    </row>
    <row r="173" spans="1:8" ht="23.25" customHeight="1" x14ac:dyDescent="0.2">
      <c r="A173" s="2041" t="s">
        <v>328</v>
      </c>
      <c r="B173" s="2041"/>
      <c r="C173" s="2041"/>
      <c r="D173" s="2041"/>
      <c r="E173" s="2041"/>
      <c r="F173" s="542">
        <f>F147+F73+F56+F50+F42+F18+F7+F37</f>
        <v>271082.90999999997</v>
      </c>
      <c r="G173" s="1332">
        <f t="shared" ref="G173" si="64">G147+G73+G56+G50+G42+G18+G7+G37</f>
        <v>263625.49</v>
      </c>
      <c r="H173" s="1259">
        <f>G173/F173</f>
        <v>0.97249026137427852</v>
      </c>
    </row>
    <row r="174" spans="1:8" x14ac:dyDescent="0.2">
      <c r="A174" s="2025"/>
      <c r="B174" s="2026"/>
      <c r="C174" s="2026"/>
      <c r="D174" s="2026"/>
      <c r="E174" s="543" t="s">
        <v>1252</v>
      </c>
      <c r="F174" s="544"/>
      <c r="G174" s="1333"/>
      <c r="H174" s="1260"/>
    </row>
    <row r="175" spans="1:8" s="430" customFormat="1" x14ac:dyDescent="0.2">
      <c r="A175" s="2027"/>
      <c r="B175" s="2028"/>
      <c r="C175" s="2028"/>
      <c r="D175" s="2028"/>
      <c r="E175" s="545" t="s">
        <v>1253</v>
      </c>
      <c r="F175" s="546">
        <f>F173-F176</f>
        <v>247582.90999999997</v>
      </c>
      <c r="G175" s="547">
        <f t="shared" ref="G175" si="65">G173-G176</f>
        <v>240163.37</v>
      </c>
      <c r="H175" s="1261">
        <f>G175/F175</f>
        <v>0.97003209955000536</v>
      </c>
    </row>
    <row r="176" spans="1:8" s="430" customFormat="1" x14ac:dyDescent="0.2">
      <c r="A176" s="2029"/>
      <c r="B176" s="2030"/>
      <c r="C176" s="2030"/>
      <c r="D176" s="2030"/>
      <c r="E176" s="548" t="s">
        <v>1254</v>
      </c>
      <c r="F176" s="549">
        <f>F16+F151+F149+F48</f>
        <v>23500</v>
      </c>
      <c r="G176" s="550">
        <f t="shared" ref="G176" si="66">G16+G151+G149+G48</f>
        <v>23462.120000000003</v>
      </c>
      <c r="H176" s="1262">
        <f>G176/F176</f>
        <v>0.99838808510638311</v>
      </c>
    </row>
    <row r="177" spans="1:6" s="430" customFormat="1" x14ac:dyDescent="0.2">
      <c r="A177" s="431"/>
      <c r="B177" s="431"/>
      <c r="C177" s="431"/>
      <c r="D177" s="431"/>
      <c r="E177" s="431"/>
      <c r="F177" s="431"/>
    </row>
    <row r="178" spans="1:6" s="430" customFormat="1" x14ac:dyDescent="0.2">
      <c r="A178" s="431"/>
      <c r="B178" s="431"/>
      <c r="C178" s="431"/>
      <c r="D178" s="431"/>
      <c r="E178" s="431"/>
      <c r="F178" s="431"/>
    </row>
    <row r="179" spans="1:6" x14ac:dyDescent="0.2">
      <c r="A179" s="551"/>
      <c r="B179" s="551"/>
      <c r="C179" s="551"/>
      <c r="D179" s="551"/>
      <c r="E179" s="551"/>
      <c r="F179" s="552"/>
    </row>
    <row r="180" spans="1:6" x14ac:dyDescent="0.2">
      <c r="A180" s="551"/>
      <c r="B180" s="551"/>
      <c r="C180" s="551"/>
      <c r="D180" s="551"/>
      <c r="E180" s="551"/>
      <c r="F180" s="552"/>
    </row>
  </sheetData>
  <sheetProtection selectLockedCells="1" selectUnlockedCells="1"/>
  <mergeCells count="7">
    <mergeCell ref="A174:D176"/>
    <mergeCell ref="A4:H4"/>
    <mergeCell ref="A8:A17"/>
    <mergeCell ref="B9:B17"/>
    <mergeCell ref="C10:C12"/>
    <mergeCell ref="C68:C69"/>
    <mergeCell ref="A173:E173"/>
  </mergeCells>
  <pageMargins left="0.70866141732283472" right="0" top="0.94488188976377963" bottom="0.39370078740157483" header="0.31496062992125984" footer="0.11811023622047245"/>
  <pageSetup paperSize="9" scale="90" firstPageNumber="0" orientation="portrait" r:id="rId1"/>
  <headerFooter alignWithMargins="0">
    <oddFooter>Strona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5"/>
  <sheetViews>
    <sheetView zoomScaleNormal="100" workbookViewId="0">
      <selection activeCell="A2" sqref="A2:F2"/>
    </sheetView>
  </sheetViews>
  <sheetFormatPr defaultRowHeight="12.75" x14ac:dyDescent="0.2"/>
  <cols>
    <col min="1" max="1" width="3.85546875" style="428" customWidth="1"/>
    <col min="2" max="2" width="36.7109375" style="428" customWidth="1"/>
    <col min="3" max="4" width="12.140625" style="428" customWidth="1"/>
    <col min="5" max="5" width="13.42578125" style="428" customWidth="1"/>
    <col min="6" max="6" width="8.42578125" style="428" customWidth="1"/>
    <col min="7" max="251" width="9.140625" style="428"/>
    <col min="252" max="252" width="6.7109375" style="428" customWidth="1"/>
    <col min="253" max="253" width="34.140625" style="428" customWidth="1"/>
    <col min="254" max="254" width="19" style="428" customWidth="1"/>
    <col min="255" max="255" width="27.85546875" style="428" customWidth="1"/>
    <col min="256" max="507" width="9.140625" style="428"/>
    <col min="508" max="508" width="6.7109375" style="428" customWidth="1"/>
    <col min="509" max="509" width="34.140625" style="428" customWidth="1"/>
    <col min="510" max="510" width="19" style="428" customWidth="1"/>
    <col min="511" max="511" width="27.85546875" style="428" customWidth="1"/>
    <col min="512" max="763" width="9.140625" style="428"/>
    <col min="764" max="764" width="6.7109375" style="428" customWidth="1"/>
    <col min="765" max="765" width="34.140625" style="428" customWidth="1"/>
    <col min="766" max="766" width="19" style="428" customWidth="1"/>
    <col min="767" max="767" width="27.85546875" style="428" customWidth="1"/>
    <col min="768" max="1019" width="9.140625" style="428"/>
    <col min="1020" max="1020" width="6.7109375" style="428" customWidth="1"/>
    <col min="1021" max="1021" width="34.140625" style="428" customWidth="1"/>
    <col min="1022" max="1022" width="19" style="428" customWidth="1"/>
    <col min="1023" max="1023" width="27.85546875" style="428" customWidth="1"/>
    <col min="1024" max="1275" width="9.140625" style="428"/>
    <col min="1276" max="1276" width="6.7109375" style="428" customWidth="1"/>
    <col min="1277" max="1277" width="34.140625" style="428" customWidth="1"/>
    <col min="1278" max="1278" width="19" style="428" customWidth="1"/>
    <col min="1279" max="1279" width="27.85546875" style="428" customWidth="1"/>
    <col min="1280" max="1531" width="9.140625" style="428"/>
    <col min="1532" max="1532" width="6.7109375" style="428" customWidth="1"/>
    <col min="1533" max="1533" width="34.140625" style="428" customWidth="1"/>
    <col min="1534" max="1534" width="19" style="428" customWidth="1"/>
    <col min="1535" max="1535" width="27.85546875" style="428" customWidth="1"/>
    <col min="1536" max="1787" width="9.140625" style="428"/>
    <col min="1788" max="1788" width="6.7109375" style="428" customWidth="1"/>
    <col min="1789" max="1789" width="34.140625" style="428" customWidth="1"/>
    <col min="1790" max="1790" width="19" style="428" customWidth="1"/>
    <col min="1791" max="1791" width="27.85546875" style="428" customWidth="1"/>
    <col min="1792" max="2043" width="9.140625" style="428"/>
    <col min="2044" max="2044" width="6.7109375" style="428" customWidth="1"/>
    <col min="2045" max="2045" width="34.140625" style="428" customWidth="1"/>
    <col min="2046" max="2046" width="19" style="428" customWidth="1"/>
    <col min="2047" max="2047" width="27.85546875" style="428" customWidth="1"/>
    <col min="2048" max="2299" width="9.140625" style="428"/>
    <col min="2300" max="2300" width="6.7109375" style="428" customWidth="1"/>
    <col min="2301" max="2301" width="34.140625" style="428" customWidth="1"/>
    <col min="2302" max="2302" width="19" style="428" customWidth="1"/>
    <col min="2303" max="2303" width="27.85546875" style="428" customWidth="1"/>
    <col min="2304" max="2555" width="9.140625" style="428"/>
    <col min="2556" max="2556" width="6.7109375" style="428" customWidth="1"/>
    <col min="2557" max="2557" width="34.140625" style="428" customWidth="1"/>
    <col min="2558" max="2558" width="19" style="428" customWidth="1"/>
    <col min="2559" max="2559" width="27.85546875" style="428" customWidth="1"/>
    <col min="2560" max="2811" width="9.140625" style="428"/>
    <col min="2812" max="2812" width="6.7109375" style="428" customWidth="1"/>
    <col min="2813" max="2813" width="34.140625" style="428" customWidth="1"/>
    <col min="2814" max="2814" width="19" style="428" customWidth="1"/>
    <col min="2815" max="2815" width="27.85546875" style="428" customWidth="1"/>
    <col min="2816" max="3067" width="9.140625" style="428"/>
    <col min="3068" max="3068" width="6.7109375" style="428" customWidth="1"/>
    <col min="3069" max="3069" width="34.140625" style="428" customWidth="1"/>
    <col min="3070" max="3070" width="19" style="428" customWidth="1"/>
    <col min="3071" max="3071" width="27.85546875" style="428" customWidth="1"/>
    <col min="3072" max="3323" width="9.140625" style="428"/>
    <col min="3324" max="3324" width="6.7109375" style="428" customWidth="1"/>
    <col min="3325" max="3325" width="34.140625" style="428" customWidth="1"/>
    <col min="3326" max="3326" width="19" style="428" customWidth="1"/>
    <col min="3327" max="3327" width="27.85546875" style="428" customWidth="1"/>
    <col min="3328" max="3579" width="9.140625" style="428"/>
    <col min="3580" max="3580" width="6.7109375" style="428" customWidth="1"/>
    <col min="3581" max="3581" width="34.140625" style="428" customWidth="1"/>
    <col min="3582" max="3582" width="19" style="428" customWidth="1"/>
    <col min="3583" max="3583" width="27.85546875" style="428" customWidth="1"/>
    <col min="3584" max="3835" width="9.140625" style="428"/>
    <col min="3836" max="3836" width="6.7109375" style="428" customWidth="1"/>
    <col min="3837" max="3837" width="34.140625" style="428" customWidth="1"/>
    <col min="3838" max="3838" width="19" style="428" customWidth="1"/>
    <col min="3839" max="3839" width="27.85546875" style="428" customWidth="1"/>
    <col min="3840" max="4091" width="9.140625" style="428"/>
    <col min="4092" max="4092" width="6.7109375" style="428" customWidth="1"/>
    <col min="4093" max="4093" width="34.140625" style="428" customWidth="1"/>
    <col min="4094" max="4094" width="19" style="428" customWidth="1"/>
    <col min="4095" max="4095" width="27.85546875" style="428" customWidth="1"/>
    <col min="4096" max="4347" width="9.140625" style="428"/>
    <col min="4348" max="4348" width="6.7109375" style="428" customWidth="1"/>
    <col min="4349" max="4349" width="34.140625" style="428" customWidth="1"/>
    <col min="4350" max="4350" width="19" style="428" customWidth="1"/>
    <col min="4351" max="4351" width="27.85546875" style="428" customWidth="1"/>
    <col min="4352" max="4603" width="9.140625" style="428"/>
    <col min="4604" max="4604" width="6.7109375" style="428" customWidth="1"/>
    <col min="4605" max="4605" width="34.140625" style="428" customWidth="1"/>
    <col min="4606" max="4606" width="19" style="428" customWidth="1"/>
    <col min="4607" max="4607" width="27.85546875" style="428" customWidth="1"/>
    <col min="4608" max="4859" width="9.140625" style="428"/>
    <col min="4860" max="4860" width="6.7109375" style="428" customWidth="1"/>
    <col min="4861" max="4861" width="34.140625" style="428" customWidth="1"/>
    <col min="4862" max="4862" width="19" style="428" customWidth="1"/>
    <col min="4863" max="4863" width="27.85546875" style="428" customWidth="1"/>
    <col min="4864" max="5115" width="9.140625" style="428"/>
    <col min="5116" max="5116" width="6.7109375" style="428" customWidth="1"/>
    <col min="5117" max="5117" width="34.140625" style="428" customWidth="1"/>
    <col min="5118" max="5118" width="19" style="428" customWidth="1"/>
    <col min="5119" max="5119" width="27.85546875" style="428" customWidth="1"/>
    <col min="5120" max="5371" width="9.140625" style="428"/>
    <col min="5372" max="5372" width="6.7109375" style="428" customWidth="1"/>
    <col min="5373" max="5373" width="34.140625" style="428" customWidth="1"/>
    <col min="5374" max="5374" width="19" style="428" customWidth="1"/>
    <col min="5375" max="5375" width="27.85546875" style="428" customWidth="1"/>
    <col min="5376" max="5627" width="9.140625" style="428"/>
    <col min="5628" max="5628" width="6.7109375" style="428" customWidth="1"/>
    <col min="5629" max="5629" width="34.140625" style="428" customWidth="1"/>
    <col min="5630" max="5630" width="19" style="428" customWidth="1"/>
    <col min="5631" max="5631" width="27.85546875" style="428" customWidth="1"/>
    <col min="5632" max="5883" width="9.140625" style="428"/>
    <col min="5884" max="5884" width="6.7109375" style="428" customWidth="1"/>
    <col min="5885" max="5885" width="34.140625" style="428" customWidth="1"/>
    <col min="5886" max="5886" width="19" style="428" customWidth="1"/>
    <col min="5887" max="5887" width="27.85546875" style="428" customWidth="1"/>
    <col min="5888" max="6139" width="9.140625" style="428"/>
    <col min="6140" max="6140" width="6.7109375" style="428" customWidth="1"/>
    <col min="6141" max="6141" width="34.140625" style="428" customWidth="1"/>
    <col min="6142" max="6142" width="19" style="428" customWidth="1"/>
    <col min="6143" max="6143" width="27.85546875" style="428" customWidth="1"/>
    <col min="6144" max="6395" width="9.140625" style="428"/>
    <col min="6396" max="6396" width="6.7109375" style="428" customWidth="1"/>
    <col min="6397" max="6397" width="34.140625" style="428" customWidth="1"/>
    <col min="6398" max="6398" width="19" style="428" customWidth="1"/>
    <col min="6399" max="6399" width="27.85546875" style="428" customWidth="1"/>
    <col min="6400" max="6651" width="9.140625" style="428"/>
    <col min="6652" max="6652" width="6.7109375" style="428" customWidth="1"/>
    <col min="6653" max="6653" width="34.140625" style="428" customWidth="1"/>
    <col min="6654" max="6654" width="19" style="428" customWidth="1"/>
    <col min="6655" max="6655" width="27.85546875" style="428" customWidth="1"/>
    <col min="6656" max="6907" width="9.140625" style="428"/>
    <col min="6908" max="6908" width="6.7109375" style="428" customWidth="1"/>
    <col min="6909" max="6909" width="34.140625" style="428" customWidth="1"/>
    <col min="6910" max="6910" width="19" style="428" customWidth="1"/>
    <col min="6911" max="6911" width="27.85546875" style="428" customWidth="1"/>
    <col min="6912" max="7163" width="9.140625" style="428"/>
    <col min="7164" max="7164" width="6.7109375" style="428" customWidth="1"/>
    <col min="7165" max="7165" width="34.140625" style="428" customWidth="1"/>
    <col min="7166" max="7166" width="19" style="428" customWidth="1"/>
    <col min="7167" max="7167" width="27.85546875" style="428" customWidth="1"/>
    <col min="7168" max="7419" width="9.140625" style="428"/>
    <col min="7420" max="7420" width="6.7109375" style="428" customWidth="1"/>
    <col min="7421" max="7421" width="34.140625" style="428" customWidth="1"/>
    <col min="7422" max="7422" width="19" style="428" customWidth="1"/>
    <col min="7423" max="7423" width="27.85546875" style="428" customWidth="1"/>
    <col min="7424" max="7675" width="9.140625" style="428"/>
    <col min="7676" max="7676" width="6.7109375" style="428" customWidth="1"/>
    <col min="7677" max="7677" width="34.140625" style="428" customWidth="1"/>
    <col min="7678" max="7678" width="19" style="428" customWidth="1"/>
    <col min="7679" max="7679" width="27.85546875" style="428" customWidth="1"/>
    <col min="7680" max="7931" width="9.140625" style="428"/>
    <col min="7932" max="7932" width="6.7109375" style="428" customWidth="1"/>
    <col min="7933" max="7933" width="34.140625" style="428" customWidth="1"/>
    <col min="7934" max="7934" width="19" style="428" customWidth="1"/>
    <col min="7935" max="7935" width="27.85546875" style="428" customWidth="1"/>
    <col min="7936" max="8187" width="9.140625" style="428"/>
    <col min="8188" max="8188" width="6.7109375" style="428" customWidth="1"/>
    <col min="8189" max="8189" width="34.140625" style="428" customWidth="1"/>
    <col min="8190" max="8190" width="19" style="428" customWidth="1"/>
    <col min="8191" max="8191" width="27.85546875" style="428" customWidth="1"/>
    <col min="8192" max="8443" width="9.140625" style="428"/>
    <col min="8444" max="8444" width="6.7109375" style="428" customWidth="1"/>
    <col min="8445" max="8445" width="34.140625" style="428" customWidth="1"/>
    <col min="8446" max="8446" width="19" style="428" customWidth="1"/>
    <col min="8447" max="8447" width="27.85546875" style="428" customWidth="1"/>
    <col min="8448" max="8699" width="9.140625" style="428"/>
    <col min="8700" max="8700" width="6.7109375" style="428" customWidth="1"/>
    <col min="8701" max="8701" width="34.140625" style="428" customWidth="1"/>
    <col min="8702" max="8702" width="19" style="428" customWidth="1"/>
    <col min="8703" max="8703" width="27.85546875" style="428" customWidth="1"/>
    <col min="8704" max="8955" width="9.140625" style="428"/>
    <col min="8956" max="8956" width="6.7109375" style="428" customWidth="1"/>
    <col min="8957" max="8957" width="34.140625" style="428" customWidth="1"/>
    <col min="8958" max="8958" width="19" style="428" customWidth="1"/>
    <col min="8959" max="8959" width="27.85546875" style="428" customWidth="1"/>
    <col min="8960" max="9211" width="9.140625" style="428"/>
    <col min="9212" max="9212" width="6.7109375" style="428" customWidth="1"/>
    <col min="9213" max="9213" width="34.140625" style="428" customWidth="1"/>
    <col min="9214" max="9214" width="19" style="428" customWidth="1"/>
    <col min="9215" max="9215" width="27.85546875" style="428" customWidth="1"/>
    <col min="9216" max="9467" width="9.140625" style="428"/>
    <col min="9468" max="9468" width="6.7109375" style="428" customWidth="1"/>
    <col min="9469" max="9469" width="34.140625" style="428" customWidth="1"/>
    <col min="9470" max="9470" width="19" style="428" customWidth="1"/>
    <col min="9471" max="9471" width="27.85546875" style="428" customWidth="1"/>
    <col min="9472" max="9723" width="9.140625" style="428"/>
    <col min="9724" max="9724" width="6.7109375" style="428" customWidth="1"/>
    <col min="9725" max="9725" width="34.140625" style="428" customWidth="1"/>
    <col min="9726" max="9726" width="19" style="428" customWidth="1"/>
    <col min="9727" max="9727" width="27.85546875" style="428" customWidth="1"/>
    <col min="9728" max="9979" width="9.140625" style="428"/>
    <col min="9980" max="9980" width="6.7109375" style="428" customWidth="1"/>
    <col min="9981" max="9981" width="34.140625" style="428" customWidth="1"/>
    <col min="9982" max="9982" width="19" style="428" customWidth="1"/>
    <col min="9983" max="9983" width="27.85546875" style="428" customWidth="1"/>
    <col min="9984" max="10235" width="9.140625" style="428"/>
    <col min="10236" max="10236" width="6.7109375" style="428" customWidth="1"/>
    <col min="10237" max="10237" width="34.140625" style="428" customWidth="1"/>
    <col min="10238" max="10238" width="19" style="428" customWidth="1"/>
    <col min="10239" max="10239" width="27.85546875" style="428" customWidth="1"/>
    <col min="10240" max="10491" width="9.140625" style="428"/>
    <col min="10492" max="10492" width="6.7109375" style="428" customWidth="1"/>
    <col min="10493" max="10493" width="34.140625" style="428" customWidth="1"/>
    <col min="10494" max="10494" width="19" style="428" customWidth="1"/>
    <col min="10495" max="10495" width="27.85546875" style="428" customWidth="1"/>
    <col min="10496" max="10747" width="9.140625" style="428"/>
    <col min="10748" max="10748" width="6.7109375" style="428" customWidth="1"/>
    <col min="10749" max="10749" width="34.140625" style="428" customWidth="1"/>
    <col min="10750" max="10750" width="19" style="428" customWidth="1"/>
    <col min="10751" max="10751" width="27.85546875" style="428" customWidth="1"/>
    <col min="10752" max="11003" width="9.140625" style="428"/>
    <col min="11004" max="11004" width="6.7109375" style="428" customWidth="1"/>
    <col min="11005" max="11005" width="34.140625" style="428" customWidth="1"/>
    <col min="11006" max="11006" width="19" style="428" customWidth="1"/>
    <col min="11007" max="11007" width="27.85546875" style="428" customWidth="1"/>
    <col min="11008" max="11259" width="9.140625" style="428"/>
    <col min="11260" max="11260" width="6.7109375" style="428" customWidth="1"/>
    <col min="11261" max="11261" width="34.140625" style="428" customWidth="1"/>
    <col min="11262" max="11262" width="19" style="428" customWidth="1"/>
    <col min="11263" max="11263" width="27.85546875" style="428" customWidth="1"/>
    <col min="11264" max="11515" width="9.140625" style="428"/>
    <col min="11516" max="11516" width="6.7109375" style="428" customWidth="1"/>
    <col min="11517" max="11517" width="34.140625" style="428" customWidth="1"/>
    <col min="11518" max="11518" width="19" style="428" customWidth="1"/>
    <col min="11519" max="11519" width="27.85546875" style="428" customWidth="1"/>
    <col min="11520" max="11771" width="9.140625" style="428"/>
    <col min="11772" max="11772" width="6.7109375" style="428" customWidth="1"/>
    <col min="11773" max="11773" width="34.140625" style="428" customWidth="1"/>
    <col min="11774" max="11774" width="19" style="428" customWidth="1"/>
    <col min="11775" max="11775" width="27.85546875" style="428" customWidth="1"/>
    <col min="11776" max="12027" width="9.140625" style="428"/>
    <col min="12028" max="12028" width="6.7109375" style="428" customWidth="1"/>
    <col min="12029" max="12029" width="34.140625" style="428" customWidth="1"/>
    <col min="12030" max="12030" width="19" style="428" customWidth="1"/>
    <col min="12031" max="12031" width="27.85546875" style="428" customWidth="1"/>
    <col min="12032" max="12283" width="9.140625" style="428"/>
    <col min="12284" max="12284" width="6.7109375" style="428" customWidth="1"/>
    <col min="12285" max="12285" width="34.140625" style="428" customWidth="1"/>
    <col min="12286" max="12286" width="19" style="428" customWidth="1"/>
    <col min="12287" max="12287" width="27.85546875" style="428" customWidth="1"/>
    <col min="12288" max="12539" width="9.140625" style="428"/>
    <col min="12540" max="12540" width="6.7109375" style="428" customWidth="1"/>
    <col min="12541" max="12541" width="34.140625" style="428" customWidth="1"/>
    <col min="12542" max="12542" width="19" style="428" customWidth="1"/>
    <col min="12543" max="12543" width="27.85546875" style="428" customWidth="1"/>
    <col min="12544" max="12795" width="9.140625" style="428"/>
    <col min="12796" max="12796" width="6.7109375" style="428" customWidth="1"/>
    <col min="12797" max="12797" width="34.140625" style="428" customWidth="1"/>
    <col min="12798" max="12798" width="19" style="428" customWidth="1"/>
    <col min="12799" max="12799" width="27.85546875" style="428" customWidth="1"/>
    <col min="12800" max="13051" width="9.140625" style="428"/>
    <col min="13052" max="13052" width="6.7109375" style="428" customWidth="1"/>
    <col min="13053" max="13053" width="34.140625" style="428" customWidth="1"/>
    <col min="13054" max="13054" width="19" style="428" customWidth="1"/>
    <col min="13055" max="13055" width="27.85546875" style="428" customWidth="1"/>
    <col min="13056" max="13307" width="9.140625" style="428"/>
    <col min="13308" max="13308" width="6.7109375" style="428" customWidth="1"/>
    <col min="13309" max="13309" width="34.140625" style="428" customWidth="1"/>
    <col min="13310" max="13310" width="19" style="428" customWidth="1"/>
    <col min="13311" max="13311" width="27.85546875" style="428" customWidth="1"/>
    <col min="13312" max="13563" width="9.140625" style="428"/>
    <col min="13564" max="13564" width="6.7109375" style="428" customWidth="1"/>
    <col min="13565" max="13565" width="34.140625" style="428" customWidth="1"/>
    <col min="13566" max="13566" width="19" style="428" customWidth="1"/>
    <col min="13567" max="13567" width="27.85546875" style="428" customWidth="1"/>
    <col min="13568" max="13819" width="9.140625" style="428"/>
    <col min="13820" max="13820" width="6.7109375" style="428" customWidth="1"/>
    <col min="13821" max="13821" width="34.140625" style="428" customWidth="1"/>
    <col min="13822" max="13822" width="19" style="428" customWidth="1"/>
    <col min="13823" max="13823" width="27.85546875" style="428" customWidth="1"/>
    <col min="13824" max="14075" width="9.140625" style="428"/>
    <col min="14076" max="14076" width="6.7109375" style="428" customWidth="1"/>
    <col min="14077" max="14077" width="34.140625" style="428" customWidth="1"/>
    <col min="14078" max="14078" width="19" style="428" customWidth="1"/>
    <col min="14079" max="14079" width="27.85546875" style="428" customWidth="1"/>
    <col min="14080" max="14331" width="9.140625" style="428"/>
    <col min="14332" max="14332" width="6.7109375" style="428" customWidth="1"/>
    <col min="14333" max="14333" width="34.140625" style="428" customWidth="1"/>
    <col min="14334" max="14334" width="19" style="428" customWidth="1"/>
    <col min="14335" max="14335" width="27.85546875" style="428" customWidth="1"/>
    <col min="14336" max="14587" width="9.140625" style="428"/>
    <col min="14588" max="14588" width="6.7109375" style="428" customWidth="1"/>
    <col min="14589" max="14589" width="34.140625" style="428" customWidth="1"/>
    <col min="14590" max="14590" width="19" style="428" customWidth="1"/>
    <col min="14591" max="14591" width="27.85546875" style="428" customWidth="1"/>
    <col min="14592" max="14843" width="9.140625" style="428"/>
    <col min="14844" max="14844" width="6.7109375" style="428" customWidth="1"/>
    <col min="14845" max="14845" width="34.140625" style="428" customWidth="1"/>
    <col min="14846" max="14846" width="19" style="428" customWidth="1"/>
    <col min="14847" max="14847" width="27.85546875" style="428" customWidth="1"/>
    <col min="14848" max="15099" width="9.140625" style="428"/>
    <col min="15100" max="15100" width="6.7109375" style="428" customWidth="1"/>
    <col min="15101" max="15101" width="34.140625" style="428" customWidth="1"/>
    <col min="15102" max="15102" width="19" style="428" customWidth="1"/>
    <col min="15103" max="15103" width="27.85546875" style="428" customWidth="1"/>
    <col min="15104" max="15355" width="9.140625" style="428"/>
    <col min="15356" max="15356" width="6.7109375" style="428" customWidth="1"/>
    <col min="15357" max="15357" width="34.140625" style="428" customWidth="1"/>
    <col min="15358" max="15358" width="19" style="428" customWidth="1"/>
    <col min="15359" max="15359" width="27.85546875" style="428" customWidth="1"/>
    <col min="15360" max="15611" width="9.140625" style="428"/>
    <col min="15612" max="15612" width="6.7109375" style="428" customWidth="1"/>
    <col min="15613" max="15613" width="34.140625" style="428" customWidth="1"/>
    <col min="15614" max="15614" width="19" style="428" customWidth="1"/>
    <col min="15615" max="15615" width="27.85546875" style="428" customWidth="1"/>
    <col min="15616" max="15867" width="9.140625" style="428"/>
    <col min="15868" max="15868" width="6.7109375" style="428" customWidth="1"/>
    <col min="15869" max="15869" width="34.140625" style="428" customWidth="1"/>
    <col min="15870" max="15870" width="19" style="428" customWidth="1"/>
    <col min="15871" max="15871" width="27.85546875" style="428" customWidth="1"/>
    <col min="15872" max="16123" width="9.140625" style="428"/>
    <col min="16124" max="16124" width="6.7109375" style="428" customWidth="1"/>
    <col min="16125" max="16125" width="34.140625" style="428" customWidth="1"/>
    <col min="16126" max="16126" width="19" style="428" customWidth="1"/>
    <col min="16127" max="16127" width="27.85546875" style="428" customWidth="1"/>
    <col min="16128" max="16384" width="9.140625" style="428"/>
  </cols>
  <sheetData>
    <row r="1" spans="1:6" x14ac:dyDescent="0.2">
      <c r="A1" s="554"/>
      <c r="B1" s="554"/>
      <c r="C1" s="2042" t="s">
        <v>1544</v>
      </c>
      <c r="D1" s="2042"/>
      <c r="E1" s="2042"/>
      <c r="F1" s="2042"/>
    </row>
    <row r="2" spans="1:6" ht="29.25" customHeight="1" x14ac:dyDescent="0.2">
      <c r="A2" s="2043" t="s">
        <v>1543</v>
      </c>
      <c r="B2" s="2043"/>
      <c r="C2" s="2043"/>
      <c r="D2" s="2043"/>
      <c r="E2" s="2043"/>
      <c r="F2" s="2043"/>
    </row>
    <row r="3" spans="1:6" ht="54.75" customHeight="1" x14ac:dyDescent="0.2">
      <c r="A3" s="555" t="s">
        <v>933</v>
      </c>
      <c r="B3" s="556" t="s">
        <v>1255</v>
      </c>
      <c r="C3" s="557" t="s">
        <v>1256</v>
      </c>
      <c r="D3" s="558" t="s">
        <v>1257</v>
      </c>
      <c r="E3" s="1274" t="s">
        <v>1458</v>
      </c>
      <c r="F3" s="1275" t="s">
        <v>1457</v>
      </c>
    </row>
    <row r="4" spans="1:6" x14ac:dyDescent="0.2">
      <c r="A4" s="559" t="s">
        <v>1074</v>
      </c>
      <c r="B4" s="560" t="s">
        <v>1181</v>
      </c>
      <c r="C4" s="559">
        <v>273</v>
      </c>
      <c r="D4" s="561">
        <f>SUM(D5:D9)</f>
        <v>12930.84</v>
      </c>
      <c r="E4" s="561">
        <f t="shared" ref="E4" si="0">SUM(E5:E9)</f>
        <v>10530.779999999999</v>
      </c>
      <c r="F4" s="1266">
        <f>E4/D4</f>
        <v>0.81439256846422958</v>
      </c>
    </row>
    <row r="5" spans="1:6" x14ac:dyDescent="0.2">
      <c r="A5" s="562"/>
      <c r="B5" s="563" t="s">
        <v>1182</v>
      </c>
      <c r="C5" s="564"/>
      <c r="D5" s="1317">
        <v>176</v>
      </c>
      <c r="E5" s="573">
        <v>176</v>
      </c>
      <c r="F5" s="1267">
        <f>E5/D5</f>
        <v>1</v>
      </c>
    </row>
    <row r="6" spans="1:6" x14ac:dyDescent="0.2">
      <c r="A6" s="562"/>
      <c r="B6" s="563" t="s">
        <v>1258</v>
      </c>
      <c r="C6" s="564"/>
      <c r="D6" s="1317">
        <v>4354.84</v>
      </c>
      <c r="E6" s="573">
        <f>1054.82+3300</f>
        <v>4354.82</v>
      </c>
      <c r="F6" s="1267">
        <f t="shared" ref="F6" si="1">E6/D6</f>
        <v>0.99999540740876802</v>
      </c>
    </row>
    <row r="7" spans="1:6" x14ac:dyDescent="0.2">
      <c r="A7" s="562"/>
      <c r="B7" s="563" t="s">
        <v>1259</v>
      </c>
      <c r="C7" s="564"/>
      <c r="D7" s="1317">
        <v>0</v>
      </c>
      <c r="E7" s="573">
        <v>0</v>
      </c>
      <c r="F7" s="1267">
        <v>0</v>
      </c>
    </row>
    <row r="8" spans="1:6" x14ac:dyDescent="0.2">
      <c r="A8" s="562"/>
      <c r="B8" s="563" t="s">
        <v>1260</v>
      </c>
      <c r="C8" s="564"/>
      <c r="D8" s="1317">
        <v>8400</v>
      </c>
      <c r="E8" s="573">
        <f>2398.5+2000+3999.96-2398.5</f>
        <v>5999.9599999999991</v>
      </c>
      <c r="F8" s="1267">
        <f>E8/D8</f>
        <v>0.71428095238095224</v>
      </c>
    </row>
    <row r="9" spans="1:6" x14ac:dyDescent="0.2">
      <c r="A9" s="562"/>
      <c r="B9" s="563" t="s">
        <v>1261</v>
      </c>
      <c r="C9" s="564"/>
      <c r="D9" s="1317">
        <v>0</v>
      </c>
      <c r="E9" s="575">
        <v>0</v>
      </c>
      <c r="F9" s="1770">
        <v>0</v>
      </c>
    </row>
    <row r="10" spans="1:6" x14ac:dyDescent="0.2">
      <c r="A10" s="559" t="s">
        <v>1061</v>
      </c>
      <c r="B10" s="567" t="s">
        <v>1148</v>
      </c>
      <c r="C10" s="559">
        <v>398</v>
      </c>
      <c r="D10" s="561">
        <f>SUM(D11:D16)</f>
        <v>16348.09</v>
      </c>
      <c r="E10" s="561">
        <f>SUM(E11:E16)</f>
        <v>16282.3</v>
      </c>
      <c r="F10" s="1269">
        <f>E10/D10</f>
        <v>0.99597567666926223</v>
      </c>
    </row>
    <row r="11" spans="1:6" x14ac:dyDescent="0.2">
      <c r="A11" s="568"/>
      <c r="B11" s="563" t="s">
        <v>1239</v>
      </c>
      <c r="C11" s="568"/>
      <c r="D11" s="569">
        <v>800</v>
      </c>
      <c r="E11" s="574">
        <v>796.05</v>
      </c>
      <c r="F11" s="1771">
        <f>E11/D11</f>
        <v>0.99506249999999996</v>
      </c>
    </row>
    <row r="12" spans="1:6" x14ac:dyDescent="0.2">
      <c r="A12" s="568"/>
      <c r="B12" s="563" t="s">
        <v>1220</v>
      </c>
      <c r="C12" s="568"/>
      <c r="D12" s="569">
        <v>2500</v>
      </c>
      <c r="E12" s="574">
        <v>2479.5700000000002</v>
      </c>
      <c r="F12" s="1771">
        <f t="shared" ref="F12:F15" si="2">E12/D12</f>
        <v>0.99182800000000004</v>
      </c>
    </row>
    <row r="13" spans="1:6" x14ac:dyDescent="0.2">
      <c r="A13" s="568"/>
      <c r="B13" s="563" t="s">
        <v>1262</v>
      </c>
      <c r="C13" s="568"/>
      <c r="D13" s="569">
        <v>4000</v>
      </c>
      <c r="E13" s="574">
        <v>4000</v>
      </c>
      <c r="F13" s="1771">
        <f t="shared" si="2"/>
        <v>1</v>
      </c>
    </row>
    <row r="14" spans="1:6" ht="22.5" x14ac:dyDescent="0.2">
      <c r="A14" s="562"/>
      <c r="B14" s="570" t="s">
        <v>1263</v>
      </c>
      <c r="C14" s="571"/>
      <c r="D14" s="569">
        <v>2500</v>
      </c>
      <c r="E14" s="574">
        <v>2500</v>
      </c>
      <c r="F14" s="1771">
        <f t="shared" si="2"/>
        <v>1</v>
      </c>
    </row>
    <row r="15" spans="1:6" x14ac:dyDescent="0.2">
      <c r="A15" s="562"/>
      <c r="B15" s="570" t="s">
        <v>1264</v>
      </c>
      <c r="C15" s="571"/>
      <c r="D15" s="569">
        <v>400</v>
      </c>
      <c r="E15" s="574">
        <v>400</v>
      </c>
      <c r="F15" s="1771">
        <f t="shared" si="2"/>
        <v>1</v>
      </c>
    </row>
    <row r="16" spans="1:6" x14ac:dyDescent="0.2">
      <c r="A16" s="562"/>
      <c r="B16" s="563" t="s">
        <v>1265</v>
      </c>
      <c r="C16" s="571"/>
      <c r="D16" s="569">
        <v>6148.09</v>
      </c>
      <c r="E16" s="566">
        <v>6106.68</v>
      </c>
      <c r="F16" s="1770">
        <f>E16/D16</f>
        <v>0.99326457485170194</v>
      </c>
    </row>
    <row r="17" spans="1:6" x14ac:dyDescent="0.2">
      <c r="A17" s="559" t="s">
        <v>1069</v>
      </c>
      <c r="B17" s="567" t="s">
        <v>1136</v>
      </c>
      <c r="C17" s="559">
        <v>290</v>
      </c>
      <c r="D17" s="572">
        <f>SUM(D18:D22)</f>
        <v>13395.59</v>
      </c>
      <c r="E17" s="572">
        <f>SUM(E18:E22)</f>
        <v>13184.23</v>
      </c>
      <c r="F17" s="1269">
        <f>E17/D17</f>
        <v>0.98422167295356155</v>
      </c>
    </row>
    <row r="18" spans="1:6" x14ac:dyDescent="0.2">
      <c r="A18" s="568"/>
      <c r="B18" s="563" t="s">
        <v>1222</v>
      </c>
      <c r="C18" s="568"/>
      <c r="D18" s="565">
        <v>395.59</v>
      </c>
      <c r="E18" s="588">
        <v>227.11</v>
      </c>
      <c r="F18" s="1771">
        <f>E18/D18</f>
        <v>0.57410450213605002</v>
      </c>
    </row>
    <row r="19" spans="1:6" ht="22.5" x14ac:dyDescent="0.2">
      <c r="A19" s="562"/>
      <c r="B19" s="563" t="s">
        <v>1266</v>
      </c>
      <c r="C19" s="571"/>
      <c r="D19" s="565">
        <v>2000</v>
      </c>
      <c r="E19" s="588">
        <v>1978.56</v>
      </c>
      <c r="F19" s="1771">
        <f t="shared" ref="F19:F22" si="3">E19/D19</f>
        <v>0.98927999999999994</v>
      </c>
    </row>
    <row r="20" spans="1:6" x14ac:dyDescent="0.2">
      <c r="A20" s="562"/>
      <c r="B20" s="563" t="s">
        <v>1162</v>
      </c>
      <c r="C20" s="571"/>
      <c r="D20" s="565">
        <v>1000</v>
      </c>
      <c r="E20" s="588">
        <v>994.38</v>
      </c>
      <c r="F20" s="1771">
        <f t="shared" si="3"/>
        <v>0.99438000000000004</v>
      </c>
    </row>
    <row r="21" spans="1:6" x14ac:dyDescent="0.2">
      <c r="A21" s="562"/>
      <c r="B21" s="563" t="s">
        <v>1251</v>
      </c>
      <c r="C21" s="571"/>
      <c r="D21" s="565">
        <v>3000</v>
      </c>
      <c r="E21" s="588">
        <f>2499.33+500</f>
        <v>2999.33</v>
      </c>
      <c r="F21" s="1771">
        <f t="shared" si="3"/>
        <v>0.99977666666666665</v>
      </c>
    </row>
    <row r="22" spans="1:6" x14ac:dyDescent="0.2">
      <c r="A22" s="562"/>
      <c r="B22" s="563" t="s">
        <v>1267</v>
      </c>
      <c r="C22" s="571"/>
      <c r="D22" s="565">
        <v>7000</v>
      </c>
      <c r="E22" s="1316">
        <v>6984.85</v>
      </c>
      <c r="F22" s="1770">
        <f t="shared" si="3"/>
        <v>0.99783571428571438</v>
      </c>
    </row>
    <row r="23" spans="1:6" x14ac:dyDescent="0.2">
      <c r="A23" s="559" t="s">
        <v>1122</v>
      </c>
      <c r="B23" s="567" t="s">
        <v>1138</v>
      </c>
      <c r="C23" s="559">
        <v>716</v>
      </c>
      <c r="D23" s="561">
        <f>SUM(D24:D28)</f>
        <v>25041.55</v>
      </c>
      <c r="E23" s="561">
        <f>SUM(E24:E28)</f>
        <v>23705.309999999998</v>
      </c>
      <c r="F23" s="1269">
        <f>E23/D23</f>
        <v>0.94663908583933498</v>
      </c>
    </row>
    <row r="24" spans="1:6" x14ac:dyDescent="0.2">
      <c r="A24" s="562"/>
      <c r="B24" s="563" t="s">
        <v>1268</v>
      </c>
      <c r="C24" s="576"/>
      <c r="D24" s="565">
        <v>3500</v>
      </c>
      <c r="E24" s="574">
        <f>2495.52+1000</f>
        <v>3495.52</v>
      </c>
      <c r="F24" s="1771">
        <f>E24/D24</f>
        <v>0.99871999999999994</v>
      </c>
    </row>
    <row r="25" spans="1:6" x14ac:dyDescent="0.2">
      <c r="A25" s="562"/>
      <c r="B25" s="563" t="s">
        <v>1269</v>
      </c>
      <c r="C25" s="576"/>
      <c r="D25" s="565">
        <v>2000</v>
      </c>
      <c r="E25" s="574">
        <v>1496.08</v>
      </c>
      <c r="F25" s="1771">
        <f t="shared" ref="F25:F28" si="4">E25/D25</f>
        <v>0.74803999999999993</v>
      </c>
    </row>
    <row r="26" spans="1:6" x14ac:dyDescent="0.2">
      <c r="A26" s="562"/>
      <c r="B26" s="563" t="s">
        <v>1270</v>
      </c>
      <c r="C26" s="576"/>
      <c r="D26" s="565">
        <v>3000</v>
      </c>
      <c r="E26" s="574">
        <v>3000</v>
      </c>
      <c r="F26" s="1771">
        <f t="shared" si="4"/>
        <v>1</v>
      </c>
    </row>
    <row r="27" spans="1:6" ht="22.5" x14ac:dyDescent="0.2">
      <c r="A27" s="562"/>
      <c r="B27" s="563" t="s">
        <v>1271</v>
      </c>
      <c r="C27" s="576"/>
      <c r="D27" s="565">
        <v>12541.55</v>
      </c>
      <c r="E27" s="588">
        <f>2500+9951</f>
        <v>12451</v>
      </c>
      <c r="F27" s="1771">
        <f t="shared" si="4"/>
        <v>0.99277999928238536</v>
      </c>
    </row>
    <row r="28" spans="1:6" x14ac:dyDescent="0.2">
      <c r="A28" s="562"/>
      <c r="B28" s="563" t="s">
        <v>1220</v>
      </c>
      <c r="C28" s="576"/>
      <c r="D28" s="565">
        <v>4000</v>
      </c>
      <c r="E28" s="566">
        <f>1997.77+1264.94</f>
        <v>3262.71</v>
      </c>
      <c r="F28" s="1770">
        <f t="shared" si="4"/>
        <v>0.81567750000000006</v>
      </c>
    </row>
    <row r="29" spans="1:6" x14ac:dyDescent="0.2">
      <c r="A29" s="559" t="s">
        <v>1123</v>
      </c>
      <c r="B29" s="567" t="s">
        <v>1142</v>
      </c>
      <c r="C29" s="559">
        <v>349</v>
      </c>
      <c r="D29" s="561">
        <f>SUM(D30:D38)</f>
        <v>15008.53</v>
      </c>
      <c r="E29" s="561">
        <f>SUM(E30:E38)</f>
        <v>14503.61</v>
      </c>
      <c r="F29" s="1269">
        <f>E29/D29</f>
        <v>0.96635779786561371</v>
      </c>
    </row>
    <row r="30" spans="1:6" ht="22.5" x14ac:dyDescent="0.2">
      <c r="A30" s="562"/>
      <c r="B30" s="563" t="s">
        <v>1272</v>
      </c>
      <c r="C30" s="571"/>
      <c r="D30" s="565">
        <v>3000</v>
      </c>
      <c r="E30" s="588">
        <v>2983.1</v>
      </c>
      <c r="F30" s="1772">
        <f>E30/D30</f>
        <v>0.99436666666666662</v>
      </c>
    </row>
    <row r="31" spans="1:6" ht="22.5" x14ac:dyDescent="0.2">
      <c r="A31" s="562"/>
      <c r="B31" s="563" t="s">
        <v>1273</v>
      </c>
      <c r="C31" s="571"/>
      <c r="D31" s="565">
        <v>300</v>
      </c>
      <c r="E31" s="588">
        <v>105.01</v>
      </c>
      <c r="F31" s="1772">
        <f t="shared" ref="F31:F38" si="5">E31/D31</f>
        <v>0.35003333333333336</v>
      </c>
    </row>
    <row r="32" spans="1:6" x14ac:dyDescent="0.2">
      <c r="A32" s="562"/>
      <c r="B32" s="563" t="s">
        <v>1251</v>
      </c>
      <c r="C32" s="571"/>
      <c r="D32" s="565">
        <v>700</v>
      </c>
      <c r="E32" s="588">
        <v>683</v>
      </c>
      <c r="F32" s="1772">
        <f t="shared" si="5"/>
        <v>0.97571428571428576</v>
      </c>
    </row>
    <row r="33" spans="1:6" x14ac:dyDescent="0.2">
      <c r="A33" s="562"/>
      <c r="B33" s="563" t="s">
        <v>1274</v>
      </c>
      <c r="C33" s="571"/>
      <c r="D33" s="565">
        <v>500</v>
      </c>
      <c r="E33" s="588">
        <v>490</v>
      </c>
      <c r="F33" s="1772">
        <f t="shared" si="5"/>
        <v>0.98</v>
      </c>
    </row>
    <row r="34" spans="1:6" ht="22.5" x14ac:dyDescent="0.2">
      <c r="A34" s="562"/>
      <c r="B34" s="563" t="s">
        <v>1275</v>
      </c>
      <c r="C34" s="571"/>
      <c r="D34" s="565">
        <v>800</v>
      </c>
      <c r="E34" s="588">
        <v>800</v>
      </c>
      <c r="F34" s="1772">
        <f t="shared" si="5"/>
        <v>1</v>
      </c>
    </row>
    <row r="35" spans="1:6" ht="22.5" x14ac:dyDescent="0.2">
      <c r="A35" s="562"/>
      <c r="B35" s="563" t="s">
        <v>1276</v>
      </c>
      <c r="C35" s="571"/>
      <c r="D35" s="565">
        <v>200</v>
      </c>
      <c r="E35" s="588">
        <v>199</v>
      </c>
      <c r="F35" s="1772">
        <f t="shared" si="5"/>
        <v>0.995</v>
      </c>
    </row>
    <row r="36" spans="1:6" x14ac:dyDescent="0.2">
      <c r="A36" s="562"/>
      <c r="B36" s="563" t="s">
        <v>1277</v>
      </c>
      <c r="C36" s="571"/>
      <c r="D36" s="565">
        <v>5000</v>
      </c>
      <c r="E36" s="588">
        <v>4735.5</v>
      </c>
      <c r="F36" s="1772">
        <f t="shared" si="5"/>
        <v>0.94710000000000005</v>
      </c>
    </row>
    <row r="37" spans="1:6" ht="22.5" x14ac:dyDescent="0.2">
      <c r="A37" s="562"/>
      <c r="B37" s="563" t="s">
        <v>1278</v>
      </c>
      <c r="C37" s="571"/>
      <c r="D37" s="565">
        <v>1500</v>
      </c>
      <c r="E37" s="588">
        <v>1500</v>
      </c>
      <c r="F37" s="1772">
        <f t="shared" si="5"/>
        <v>1</v>
      </c>
    </row>
    <row r="38" spans="1:6" ht="22.5" x14ac:dyDescent="0.2">
      <c r="A38" s="562"/>
      <c r="B38" s="563" t="s">
        <v>1212</v>
      </c>
      <c r="C38" s="571"/>
      <c r="D38" s="577">
        <v>3008.53</v>
      </c>
      <c r="E38" s="1316">
        <v>3008</v>
      </c>
      <c r="F38" s="1773">
        <f t="shared" si="5"/>
        <v>0.99982383423133547</v>
      </c>
    </row>
    <row r="39" spans="1:6" x14ac:dyDescent="0.2">
      <c r="A39" s="559" t="s">
        <v>1125</v>
      </c>
      <c r="B39" s="567" t="s">
        <v>1152</v>
      </c>
      <c r="C39" s="559">
        <v>165</v>
      </c>
      <c r="D39" s="561">
        <f>SUM(D40:D43)</f>
        <v>9978.35</v>
      </c>
      <c r="E39" s="561">
        <f>SUM(E40:E43)</f>
        <v>8983.02</v>
      </c>
      <c r="F39" s="1269">
        <f>E39/D39</f>
        <v>0.90025104350919738</v>
      </c>
    </row>
    <row r="40" spans="1:6" x14ac:dyDescent="0.2">
      <c r="A40" s="562"/>
      <c r="B40" s="563" t="s">
        <v>1279</v>
      </c>
      <c r="C40" s="576"/>
      <c r="D40" s="565">
        <v>3000</v>
      </c>
      <c r="E40" s="573">
        <f>1425.57+1445.25</f>
        <v>2870.8199999999997</v>
      </c>
      <c r="F40" s="1771">
        <f>E40/D40</f>
        <v>0.9569399999999999</v>
      </c>
    </row>
    <row r="41" spans="1:6" x14ac:dyDescent="0.2">
      <c r="A41" s="562"/>
      <c r="B41" s="563" t="s">
        <v>1280</v>
      </c>
      <c r="C41" s="576"/>
      <c r="D41" s="565">
        <v>2400</v>
      </c>
      <c r="E41" s="573">
        <v>2368.96</v>
      </c>
      <c r="F41" s="1771">
        <f t="shared" ref="F41:F43" si="6">E41/D41</f>
        <v>0.98706666666666665</v>
      </c>
    </row>
    <row r="42" spans="1:6" x14ac:dyDescent="0.2">
      <c r="A42" s="562"/>
      <c r="B42" s="563" t="s">
        <v>1222</v>
      </c>
      <c r="C42" s="576"/>
      <c r="D42" s="565">
        <v>2978.35</v>
      </c>
      <c r="E42" s="573">
        <v>2685.8</v>
      </c>
      <c r="F42" s="1771">
        <f t="shared" si="6"/>
        <v>0.90177447244279563</v>
      </c>
    </row>
    <row r="43" spans="1:6" x14ac:dyDescent="0.2">
      <c r="A43" s="562"/>
      <c r="B43" s="563" t="s">
        <v>1251</v>
      </c>
      <c r="C43" s="576"/>
      <c r="D43" s="565">
        <v>1600</v>
      </c>
      <c r="E43" s="575">
        <v>1057.44</v>
      </c>
      <c r="F43" s="1770">
        <f t="shared" si="6"/>
        <v>0.66090000000000004</v>
      </c>
    </row>
    <row r="44" spans="1:6" x14ac:dyDescent="0.2">
      <c r="A44" s="559" t="s">
        <v>1281</v>
      </c>
      <c r="B44" s="567" t="s">
        <v>1199</v>
      </c>
      <c r="C44" s="559">
        <v>426</v>
      </c>
      <c r="D44" s="561">
        <f>SUM(D45:D49)</f>
        <v>17113.55</v>
      </c>
      <c r="E44" s="561">
        <f>SUM(E45:E49)</f>
        <v>17075.61</v>
      </c>
      <c r="F44" s="1269">
        <f>E44/D44</f>
        <v>0.99778304326104172</v>
      </c>
    </row>
    <row r="45" spans="1:6" x14ac:dyDescent="0.2">
      <c r="A45" s="562"/>
      <c r="B45" s="563" t="s">
        <v>1282</v>
      </c>
      <c r="C45" s="578"/>
      <c r="D45" s="565">
        <v>1000</v>
      </c>
      <c r="E45" s="573">
        <v>995.64</v>
      </c>
      <c r="F45" s="1267">
        <f>E45/D45</f>
        <v>0.99563999999999997</v>
      </c>
    </row>
    <row r="46" spans="1:6" x14ac:dyDescent="0.2">
      <c r="A46" s="562"/>
      <c r="B46" s="563" t="s">
        <v>1283</v>
      </c>
      <c r="C46" s="578"/>
      <c r="D46" s="565">
        <v>2000</v>
      </c>
      <c r="E46" s="573">
        <v>1997.48</v>
      </c>
      <c r="F46" s="1267">
        <f t="shared" ref="F46:F48" si="7">E46/D46</f>
        <v>0.99873999999999996</v>
      </c>
    </row>
    <row r="47" spans="1:6" x14ac:dyDescent="0.2">
      <c r="A47" s="562"/>
      <c r="B47" s="563" t="s">
        <v>1222</v>
      </c>
      <c r="C47" s="578"/>
      <c r="D47" s="565">
        <v>7613.55</v>
      </c>
      <c r="E47" s="573">
        <f>3594.24+3998.5</f>
        <v>7592.74</v>
      </c>
      <c r="F47" s="1267">
        <f t="shared" si="7"/>
        <v>0.99726671526423283</v>
      </c>
    </row>
    <row r="48" spans="1:6" x14ac:dyDescent="0.2">
      <c r="A48" s="562"/>
      <c r="B48" s="563" t="s">
        <v>1251</v>
      </c>
      <c r="C48" s="578"/>
      <c r="D48" s="565">
        <v>4500</v>
      </c>
      <c r="E48" s="573">
        <v>4489.75</v>
      </c>
      <c r="F48" s="1267">
        <f t="shared" si="7"/>
        <v>0.99772222222222218</v>
      </c>
    </row>
    <row r="49" spans="1:6" x14ac:dyDescent="0.2">
      <c r="A49" s="579"/>
      <c r="B49" s="580" t="s">
        <v>1189</v>
      </c>
      <c r="C49" s="581"/>
      <c r="D49" s="582">
        <v>2000</v>
      </c>
      <c r="E49" s="575">
        <v>2000</v>
      </c>
      <c r="F49" s="1770">
        <f t="shared" ref="F49:F54" si="8">E49/D49</f>
        <v>1</v>
      </c>
    </row>
    <row r="50" spans="1:6" x14ac:dyDescent="0.2">
      <c r="A50" s="559" t="s">
        <v>1284</v>
      </c>
      <c r="B50" s="567" t="s">
        <v>1200</v>
      </c>
      <c r="C50" s="559">
        <v>53</v>
      </c>
      <c r="D50" s="561">
        <f>SUM(D51:D52)</f>
        <v>6916.5</v>
      </c>
      <c r="E50" s="561">
        <f>SUM(E51:E52)</f>
        <v>6765.12</v>
      </c>
      <c r="F50" s="1269">
        <f t="shared" si="8"/>
        <v>0.97811320754716979</v>
      </c>
    </row>
    <row r="51" spans="1:6" x14ac:dyDescent="0.2">
      <c r="A51" s="568"/>
      <c r="B51" s="563" t="s">
        <v>1201</v>
      </c>
      <c r="C51" s="568"/>
      <c r="D51" s="565">
        <v>6000</v>
      </c>
      <c r="E51" s="573">
        <f>3468.6+2484.6</f>
        <v>5953.2</v>
      </c>
      <c r="F51" s="1267">
        <f t="shared" si="8"/>
        <v>0.99219999999999997</v>
      </c>
    </row>
    <row r="52" spans="1:6" x14ac:dyDescent="0.2">
      <c r="A52" s="579"/>
      <c r="B52" s="580" t="s">
        <v>1285</v>
      </c>
      <c r="C52" s="583"/>
      <c r="D52" s="582">
        <v>916.5</v>
      </c>
      <c r="E52" s="575">
        <v>811.92</v>
      </c>
      <c r="F52" s="1268">
        <f t="shared" si="8"/>
        <v>0.88589198036006545</v>
      </c>
    </row>
    <row r="53" spans="1:6" x14ac:dyDescent="0.2">
      <c r="A53" s="559" t="s">
        <v>1286</v>
      </c>
      <c r="B53" s="567" t="s">
        <v>1154</v>
      </c>
      <c r="C53" s="559">
        <v>87</v>
      </c>
      <c r="D53" s="561">
        <f>SUM(D54:D59)</f>
        <v>7845.99</v>
      </c>
      <c r="E53" s="561">
        <f>SUM(E54:E59)</f>
        <v>7766.95</v>
      </c>
      <c r="F53" s="1269">
        <f t="shared" si="8"/>
        <v>0.98992606414231987</v>
      </c>
    </row>
    <row r="54" spans="1:6" x14ac:dyDescent="0.2">
      <c r="A54" s="562"/>
      <c r="B54" s="563" t="s">
        <v>1287</v>
      </c>
      <c r="C54" s="578"/>
      <c r="D54" s="565">
        <v>1600</v>
      </c>
      <c r="E54" s="573">
        <v>1600</v>
      </c>
      <c r="F54" s="1267">
        <f t="shared" si="8"/>
        <v>1</v>
      </c>
    </row>
    <row r="55" spans="1:6" x14ac:dyDescent="0.2">
      <c r="A55" s="562"/>
      <c r="B55" s="563" t="s">
        <v>1288</v>
      </c>
      <c r="C55" s="578"/>
      <c r="D55" s="565">
        <v>2000</v>
      </c>
      <c r="E55" s="573">
        <v>1996.73</v>
      </c>
      <c r="F55" s="1267">
        <f t="shared" ref="F55:F59" si="9">E55/D55</f>
        <v>0.99836500000000006</v>
      </c>
    </row>
    <row r="56" spans="1:6" x14ac:dyDescent="0.2">
      <c r="A56" s="562"/>
      <c r="B56" s="563" t="s">
        <v>1289</v>
      </c>
      <c r="C56" s="578"/>
      <c r="D56" s="565">
        <v>1545</v>
      </c>
      <c r="E56" s="573">
        <v>1498.18</v>
      </c>
      <c r="F56" s="1267">
        <f t="shared" si="9"/>
        <v>0.96969579288025898</v>
      </c>
    </row>
    <row r="57" spans="1:6" x14ac:dyDescent="0.2">
      <c r="A57" s="562"/>
      <c r="B57" s="563" t="s">
        <v>1290</v>
      </c>
      <c r="C57" s="578"/>
      <c r="D57" s="565">
        <v>400</v>
      </c>
      <c r="E57" s="573">
        <v>389.2</v>
      </c>
      <c r="F57" s="1267">
        <f t="shared" si="9"/>
        <v>0.97299999999999998</v>
      </c>
    </row>
    <row r="58" spans="1:6" x14ac:dyDescent="0.2">
      <c r="A58" s="562"/>
      <c r="B58" s="563" t="s">
        <v>1291</v>
      </c>
      <c r="C58" s="578"/>
      <c r="D58" s="565">
        <v>1300.99</v>
      </c>
      <c r="E58" s="573">
        <f>1282.84</f>
        <v>1282.8399999999999</v>
      </c>
      <c r="F58" s="1267">
        <f t="shared" si="9"/>
        <v>0.98604908569627736</v>
      </c>
    </row>
    <row r="59" spans="1:6" x14ac:dyDescent="0.2">
      <c r="A59" s="579"/>
      <c r="B59" s="580" t="s">
        <v>1292</v>
      </c>
      <c r="C59" s="581"/>
      <c r="D59" s="582">
        <v>1000</v>
      </c>
      <c r="E59" s="575">
        <v>1000</v>
      </c>
      <c r="F59" s="1267">
        <f t="shared" si="9"/>
        <v>1</v>
      </c>
    </row>
    <row r="60" spans="1:6" x14ac:dyDescent="0.2">
      <c r="A60" s="559" t="s">
        <v>1293</v>
      </c>
      <c r="B60" s="567" t="s">
        <v>1140</v>
      </c>
      <c r="C60" s="559">
        <v>477</v>
      </c>
      <c r="D60" s="561">
        <f>SUM(D61:D64)</f>
        <v>18507.78</v>
      </c>
      <c r="E60" s="561">
        <f>SUM(E61:E64)</f>
        <v>18062.919999999998</v>
      </c>
      <c r="F60" s="1266">
        <f>E60/D60</f>
        <v>0.97596362178500062</v>
      </c>
    </row>
    <row r="61" spans="1:6" x14ac:dyDescent="0.2">
      <c r="A61" s="568"/>
      <c r="B61" s="563" t="s">
        <v>1294</v>
      </c>
      <c r="C61" s="568"/>
      <c r="D61" s="1317">
        <v>7007.78</v>
      </c>
      <c r="E61" s="573">
        <v>6563.39</v>
      </c>
      <c r="F61" s="1267">
        <f>E61/D61</f>
        <v>0.93658619420130207</v>
      </c>
    </row>
    <row r="62" spans="1:6" ht="22.5" x14ac:dyDescent="0.2">
      <c r="A62" s="568"/>
      <c r="B62" s="563" t="s">
        <v>1295</v>
      </c>
      <c r="C62" s="568"/>
      <c r="D62" s="1317">
        <v>8000</v>
      </c>
      <c r="E62" s="573">
        <v>7999.53</v>
      </c>
      <c r="F62" s="1267">
        <f t="shared" ref="F62:F64" si="10">E62/D62</f>
        <v>0.99994125</v>
      </c>
    </row>
    <row r="63" spans="1:6" x14ac:dyDescent="0.2">
      <c r="A63" s="562"/>
      <c r="B63" s="563" t="s">
        <v>1296</v>
      </c>
      <c r="C63" s="578"/>
      <c r="D63" s="1317">
        <v>1500</v>
      </c>
      <c r="E63" s="573">
        <v>1500</v>
      </c>
      <c r="F63" s="1267">
        <f t="shared" si="10"/>
        <v>1</v>
      </c>
    </row>
    <row r="64" spans="1:6" x14ac:dyDescent="0.2">
      <c r="A64" s="562"/>
      <c r="B64" s="563" t="s">
        <v>1141</v>
      </c>
      <c r="C64" s="578"/>
      <c r="D64" s="1317">
        <v>2000</v>
      </c>
      <c r="E64" s="575">
        <v>2000</v>
      </c>
      <c r="F64" s="1770">
        <f t="shared" si="10"/>
        <v>1</v>
      </c>
    </row>
    <row r="65" spans="1:6" x14ac:dyDescent="0.2">
      <c r="A65" s="559" t="s">
        <v>1297</v>
      </c>
      <c r="B65" s="567" t="s">
        <v>1156</v>
      </c>
      <c r="C65" s="559">
        <v>202</v>
      </c>
      <c r="D65" s="561">
        <f>SUM(D66:D69)</f>
        <v>10989.85</v>
      </c>
      <c r="E65" s="561">
        <f>SUM(E66:E69)</f>
        <v>10565.75</v>
      </c>
      <c r="F65" s="1271">
        <f>E65/D65</f>
        <v>0.96140984635823057</v>
      </c>
    </row>
    <row r="66" spans="1:6" x14ac:dyDescent="0.2">
      <c r="A66" s="562"/>
      <c r="B66" s="563" t="s">
        <v>1298</v>
      </c>
      <c r="C66" s="1318"/>
      <c r="D66" s="1317">
        <v>2300</v>
      </c>
      <c r="E66" s="573">
        <f>800+1500</f>
        <v>2300</v>
      </c>
      <c r="F66" s="1774">
        <f>E66/D66</f>
        <v>1</v>
      </c>
    </row>
    <row r="67" spans="1:6" x14ac:dyDescent="0.2">
      <c r="A67" s="562"/>
      <c r="B67" s="584" t="s">
        <v>1299</v>
      </c>
      <c r="C67" s="1318"/>
      <c r="D67" s="1317">
        <v>1600</v>
      </c>
      <c r="E67" s="573">
        <f>1597.12</f>
        <v>1597.12</v>
      </c>
      <c r="F67" s="1774">
        <f t="shared" ref="F67:F69" si="11">E67/D67</f>
        <v>0.99819999999999998</v>
      </c>
    </row>
    <row r="68" spans="1:6" x14ac:dyDescent="0.2">
      <c r="A68" s="562"/>
      <c r="B68" s="584" t="s">
        <v>1300</v>
      </c>
      <c r="C68" s="1318"/>
      <c r="D68" s="1317">
        <v>1000</v>
      </c>
      <c r="E68" s="573">
        <v>989.62</v>
      </c>
      <c r="F68" s="1774">
        <f t="shared" si="11"/>
        <v>0.98962000000000006</v>
      </c>
    </row>
    <row r="69" spans="1:6" ht="22.5" x14ac:dyDescent="0.2">
      <c r="A69" s="562"/>
      <c r="B69" s="584" t="s">
        <v>1301</v>
      </c>
      <c r="C69" s="1318"/>
      <c r="D69" s="1317">
        <v>6089.85</v>
      </c>
      <c r="E69" s="575">
        <f>5679.01</f>
        <v>5679.01</v>
      </c>
      <c r="F69" s="1775">
        <f t="shared" si="11"/>
        <v>0.93253692619686857</v>
      </c>
    </row>
    <row r="70" spans="1:6" x14ac:dyDescent="0.2">
      <c r="A70" s="559" t="s">
        <v>1302</v>
      </c>
      <c r="B70" s="567" t="s">
        <v>1145</v>
      </c>
      <c r="C70" s="559">
        <v>1192</v>
      </c>
      <c r="D70" s="561">
        <f>SUM(D71:D80)</f>
        <v>27337.9</v>
      </c>
      <c r="E70" s="561">
        <f t="shared" ref="E70" si="12">SUM(E71:E80)</f>
        <v>27333.230000000003</v>
      </c>
      <c r="F70" s="1266">
        <f>E70/D70</f>
        <v>0.9998291748817576</v>
      </c>
    </row>
    <row r="71" spans="1:6" x14ac:dyDescent="0.2">
      <c r="A71" s="585"/>
      <c r="B71" s="563" t="s">
        <v>1168</v>
      </c>
      <c r="C71" s="1319"/>
      <c r="D71" s="1317">
        <v>2000</v>
      </c>
      <c r="E71" s="573">
        <v>2000</v>
      </c>
      <c r="F71" s="1774">
        <f>E71/D71</f>
        <v>1</v>
      </c>
    </row>
    <row r="72" spans="1:6" ht="22.5" x14ac:dyDescent="0.2">
      <c r="A72" s="585"/>
      <c r="B72" s="584" t="s">
        <v>1303</v>
      </c>
      <c r="C72" s="1319"/>
      <c r="D72" s="1317">
        <v>1500</v>
      </c>
      <c r="E72" s="573">
        <v>1499.48</v>
      </c>
      <c r="F72" s="1774">
        <f t="shared" ref="F72:F80" si="13">E72/D72</f>
        <v>0.99965333333333339</v>
      </c>
    </row>
    <row r="73" spans="1:6" x14ac:dyDescent="0.2">
      <c r="A73" s="586"/>
      <c r="B73" s="584" t="s">
        <v>1304</v>
      </c>
      <c r="C73" s="1319"/>
      <c r="D73" s="1317">
        <v>2000</v>
      </c>
      <c r="E73" s="573">
        <v>2000</v>
      </c>
      <c r="F73" s="1774">
        <f t="shared" si="13"/>
        <v>1</v>
      </c>
    </row>
    <row r="74" spans="1:6" x14ac:dyDescent="0.2">
      <c r="A74" s="585"/>
      <c r="B74" s="584" t="s">
        <v>1305</v>
      </c>
      <c r="C74" s="1319"/>
      <c r="D74" s="1317">
        <v>800</v>
      </c>
      <c r="E74" s="573">
        <v>797.96</v>
      </c>
      <c r="F74" s="1774">
        <f t="shared" si="13"/>
        <v>0.99745000000000006</v>
      </c>
    </row>
    <row r="75" spans="1:6" ht="22.5" x14ac:dyDescent="0.2">
      <c r="A75" s="585"/>
      <c r="B75" s="584" t="s">
        <v>1306</v>
      </c>
      <c r="C75" s="1319"/>
      <c r="D75" s="1317">
        <v>4600</v>
      </c>
      <c r="E75" s="573">
        <v>4599.8900000000003</v>
      </c>
      <c r="F75" s="1774">
        <f t="shared" si="13"/>
        <v>0.99997608695652185</v>
      </c>
    </row>
    <row r="76" spans="1:6" x14ac:dyDescent="0.2">
      <c r="A76" s="585"/>
      <c r="B76" s="584" t="s">
        <v>1307</v>
      </c>
      <c r="C76" s="1319"/>
      <c r="D76" s="1317">
        <v>3700</v>
      </c>
      <c r="E76" s="573">
        <f>1700+2003.83</f>
        <v>3703.83</v>
      </c>
      <c r="F76" s="1774">
        <f t="shared" si="13"/>
        <v>1.0010351351351352</v>
      </c>
    </row>
    <row r="77" spans="1:6" x14ac:dyDescent="0.2">
      <c r="A77" s="585"/>
      <c r="B77" s="584" t="s">
        <v>1308</v>
      </c>
      <c r="C77" s="1319"/>
      <c r="D77" s="1317">
        <v>2400</v>
      </c>
      <c r="E77" s="573">
        <v>2394.17</v>
      </c>
      <c r="F77" s="1774">
        <f t="shared" si="13"/>
        <v>0.99757083333333341</v>
      </c>
    </row>
    <row r="78" spans="1:6" ht="22.5" x14ac:dyDescent="0.2">
      <c r="A78" s="585"/>
      <c r="B78" s="587" t="s">
        <v>1146</v>
      </c>
      <c r="C78" s="1319"/>
      <c r="D78" s="1317">
        <v>0</v>
      </c>
      <c r="E78" s="573">
        <v>0</v>
      </c>
      <c r="F78" s="1774">
        <v>0</v>
      </c>
    </row>
    <row r="79" spans="1:6" x14ac:dyDescent="0.2">
      <c r="A79" s="585"/>
      <c r="B79" s="587" t="s">
        <v>1176</v>
      </c>
      <c r="C79" s="1319"/>
      <c r="D79" s="1317">
        <v>10000</v>
      </c>
      <c r="E79" s="573">
        <v>10000</v>
      </c>
      <c r="F79" s="1774">
        <f t="shared" si="13"/>
        <v>1</v>
      </c>
    </row>
    <row r="80" spans="1:6" x14ac:dyDescent="0.2">
      <c r="A80" s="585"/>
      <c r="B80" s="563" t="s">
        <v>1309</v>
      </c>
      <c r="C80" s="1319"/>
      <c r="D80" s="1317">
        <v>337.9</v>
      </c>
      <c r="E80" s="575">
        <v>337.9</v>
      </c>
      <c r="F80" s="1775">
        <f t="shared" si="13"/>
        <v>1</v>
      </c>
    </row>
    <row r="81" spans="1:6" x14ac:dyDescent="0.2">
      <c r="A81" s="559" t="s">
        <v>1310</v>
      </c>
      <c r="B81" s="567" t="s">
        <v>1157</v>
      </c>
      <c r="C81" s="559">
        <v>808</v>
      </c>
      <c r="D81" s="561">
        <f>SUM(D82:D89)</f>
        <v>27337.9</v>
      </c>
      <c r="E81" s="561">
        <f>SUM(E82:E89)</f>
        <v>27217.35</v>
      </c>
      <c r="F81" s="1269">
        <f>E81/D81</f>
        <v>0.9955903708770607</v>
      </c>
    </row>
    <row r="82" spans="1:6" ht="22.5" x14ac:dyDescent="0.2">
      <c r="A82" s="568"/>
      <c r="B82" s="563" t="s">
        <v>1311</v>
      </c>
      <c r="C82" s="1320"/>
      <c r="D82" s="565">
        <v>5500</v>
      </c>
      <c r="E82" s="588">
        <v>5498.29</v>
      </c>
      <c r="F82" s="1270">
        <f>E82/D82</f>
        <v>0.99968909090909086</v>
      </c>
    </row>
    <row r="83" spans="1:6" x14ac:dyDescent="0.2">
      <c r="A83" s="589"/>
      <c r="B83" s="563" t="s">
        <v>1312</v>
      </c>
      <c r="C83" s="1320"/>
      <c r="D83" s="565">
        <v>5500</v>
      </c>
      <c r="E83" s="588">
        <v>5492.76</v>
      </c>
      <c r="F83" s="1772">
        <f>E83/D83</f>
        <v>0.99868363636363644</v>
      </c>
    </row>
    <row r="84" spans="1:6" x14ac:dyDescent="0.2">
      <c r="A84" s="589"/>
      <c r="B84" s="563" t="s">
        <v>1313</v>
      </c>
      <c r="C84" s="1320"/>
      <c r="D84" s="565">
        <v>1000</v>
      </c>
      <c r="E84" s="588">
        <v>1000</v>
      </c>
      <c r="F84" s="1772">
        <f t="shared" ref="F84:F89" si="14">E84/D84</f>
        <v>1</v>
      </c>
    </row>
    <row r="85" spans="1:6" x14ac:dyDescent="0.2">
      <c r="A85" s="589"/>
      <c r="B85" s="563" t="s">
        <v>1314</v>
      </c>
      <c r="C85" s="1320"/>
      <c r="D85" s="565">
        <v>2000</v>
      </c>
      <c r="E85" s="588">
        <v>2000</v>
      </c>
      <c r="F85" s="1772">
        <f t="shared" si="14"/>
        <v>1</v>
      </c>
    </row>
    <row r="86" spans="1:6" x14ac:dyDescent="0.2">
      <c r="A86" s="589"/>
      <c r="B86" s="563" t="s">
        <v>1158</v>
      </c>
      <c r="C86" s="1320"/>
      <c r="D86" s="565">
        <v>2337.9</v>
      </c>
      <c r="E86" s="588">
        <v>2250.9</v>
      </c>
      <c r="F86" s="1772">
        <f t="shared" si="14"/>
        <v>0.96278711664314132</v>
      </c>
    </row>
    <row r="87" spans="1:6" x14ac:dyDescent="0.2">
      <c r="A87" s="589"/>
      <c r="B87" s="563" t="s">
        <v>1315</v>
      </c>
      <c r="C87" s="1320"/>
      <c r="D87" s="565">
        <v>2500</v>
      </c>
      <c r="E87" s="588">
        <v>2498.13</v>
      </c>
      <c r="F87" s="1772">
        <f t="shared" si="14"/>
        <v>0.99925200000000003</v>
      </c>
    </row>
    <row r="88" spans="1:6" ht="22.5" x14ac:dyDescent="0.2">
      <c r="A88" s="589"/>
      <c r="B88" s="563" t="s">
        <v>1316</v>
      </c>
      <c r="C88" s="1320"/>
      <c r="D88" s="565">
        <v>6500</v>
      </c>
      <c r="E88" s="588">
        <v>6477.27</v>
      </c>
      <c r="F88" s="1772">
        <f t="shared" si="14"/>
        <v>0.99650307692307694</v>
      </c>
    </row>
    <row r="89" spans="1:6" ht="22.5" x14ac:dyDescent="0.2">
      <c r="A89" s="589"/>
      <c r="B89" s="563" t="s">
        <v>1317</v>
      </c>
      <c r="C89" s="565"/>
      <c r="D89" s="565">
        <v>2000</v>
      </c>
      <c r="E89" s="1316">
        <v>2000</v>
      </c>
      <c r="F89" s="1773">
        <f t="shared" si="14"/>
        <v>1</v>
      </c>
    </row>
    <row r="90" spans="1:6" x14ac:dyDescent="0.2">
      <c r="A90" s="559" t="s">
        <v>1318</v>
      </c>
      <c r="B90" s="567" t="s">
        <v>1169</v>
      </c>
      <c r="C90" s="559">
        <v>336</v>
      </c>
      <c r="D90" s="561">
        <f>SUM(D91:D96)</f>
        <v>14653.130000000001</v>
      </c>
      <c r="E90" s="561">
        <f>SUM(E91:E96)</f>
        <v>14613.869999999999</v>
      </c>
      <c r="F90" s="1269">
        <f>E90/D90</f>
        <v>0.99732070895433245</v>
      </c>
    </row>
    <row r="91" spans="1:6" x14ac:dyDescent="0.2">
      <c r="A91" s="568"/>
      <c r="B91" s="563" t="s">
        <v>1170</v>
      </c>
      <c r="C91" s="568"/>
      <c r="D91" s="569">
        <v>3000</v>
      </c>
      <c r="E91" s="1321">
        <v>3000</v>
      </c>
      <c r="F91" s="1771">
        <f>E91/D91</f>
        <v>1</v>
      </c>
    </row>
    <row r="92" spans="1:6" ht="22.5" x14ac:dyDescent="0.2">
      <c r="A92" s="568"/>
      <c r="B92" s="563" t="s">
        <v>1319</v>
      </c>
      <c r="C92" s="568"/>
      <c r="D92" s="1317">
        <v>2000</v>
      </c>
      <c r="E92" s="1321">
        <v>1968</v>
      </c>
      <c r="F92" s="1771">
        <f t="shared" ref="F92:F96" si="15">E92/D92</f>
        <v>0.98399999999999999</v>
      </c>
    </row>
    <row r="93" spans="1:6" x14ac:dyDescent="0.2">
      <c r="A93" s="578"/>
      <c r="B93" s="563" t="s">
        <v>1320</v>
      </c>
      <c r="C93" s="578"/>
      <c r="D93" s="1317">
        <v>600</v>
      </c>
      <c r="E93" s="1321">
        <v>599.99</v>
      </c>
      <c r="F93" s="1771">
        <f t="shared" si="15"/>
        <v>0.99998333333333334</v>
      </c>
    </row>
    <row r="94" spans="1:6" x14ac:dyDescent="0.2">
      <c r="A94" s="578"/>
      <c r="B94" s="563" t="s">
        <v>1312</v>
      </c>
      <c r="C94" s="578"/>
      <c r="D94" s="1317">
        <v>5053.13</v>
      </c>
      <c r="E94" s="1321">
        <f>2051.68+3000</f>
        <v>5051.68</v>
      </c>
      <c r="F94" s="1771">
        <f t="shared" si="15"/>
        <v>0.99971304913984005</v>
      </c>
    </row>
    <row r="95" spans="1:6" x14ac:dyDescent="0.2">
      <c r="A95" s="578"/>
      <c r="B95" s="563" t="s">
        <v>1321</v>
      </c>
      <c r="C95" s="578"/>
      <c r="D95" s="1317">
        <v>1000</v>
      </c>
      <c r="E95" s="1321">
        <v>999.99</v>
      </c>
      <c r="F95" s="1771">
        <f t="shared" si="15"/>
        <v>0.99999000000000005</v>
      </c>
    </row>
    <row r="96" spans="1:6" ht="22.5" x14ac:dyDescent="0.2">
      <c r="A96" s="581"/>
      <c r="B96" s="580" t="s">
        <v>1248</v>
      </c>
      <c r="C96" s="581"/>
      <c r="D96" s="1323">
        <v>3000</v>
      </c>
      <c r="E96" s="1322">
        <v>2994.21</v>
      </c>
      <c r="F96" s="1770">
        <f t="shared" si="15"/>
        <v>0.99807000000000001</v>
      </c>
    </row>
    <row r="97" spans="1:6" x14ac:dyDescent="0.2">
      <c r="A97" s="559" t="s">
        <v>1322</v>
      </c>
      <c r="B97" s="567" t="s">
        <v>1174</v>
      </c>
      <c r="C97" s="559">
        <v>240</v>
      </c>
      <c r="D97" s="561">
        <f>SUM(D98:D101)</f>
        <v>12028.689999999999</v>
      </c>
      <c r="E97" s="561">
        <f>SUM(E98:E101)</f>
        <v>12019.84</v>
      </c>
      <c r="F97" s="1269">
        <f>E97/D97</f>
        <v>0.99926425903402627</v>
      </c>
    </row>
    <row r="98" spans="1:6" x14ac:dyDescent="0.2">
      <c r="A98" s="589"/>
      <c r="B98" s="563" t="s">
        <v>1323</v>
      </c>
      <c r="C98" s="589"/>
      <c r="D98" s="565">
        <v>4000</v>
      </c>
      <c r="E98" s="588">
        <v>3999.05</v>
      </c>
      <c r="F98" s="1772">
        <f>E98/D98</f>
        <v>0.9997625</v>
      </c>
    </row>
    <row r="99" spans="1:6" ht="22.5" x14ac:dyDescent="0.2">
      <c r="A99" s="589"/>
      <c r="B99" s="563" t="s">
        <v>1184</v>
      </c>
      <c r="C99" s="589"/>
      <c r="D99" s="565">
        <v>1500</v>
      </c>
      <c r="E99" s="588">
        <v>1499.16</v>
      </c>
      <c r="F99" s="1772">
        <f t="shared" ref="F99:F101" si="16">E99/D99</f>
        <v>0.99944000000000011</v>
      </c>
    </row>
    <row r="100" spans="1:6" ht="22.5" x14ac:dyDescent="0.2">
      <c r="A100" s="585"/>
      <c r="B100" s="563" t="s">
        <v>1324</v>
      </c>
      <c r="C100" s="590"/>
      <c r="D100" s="565">
        <v>5528.69</v>
      </c>
      <c r="E100" s="588">
        <v>5521.93</v>
      </c>
      <c r="F100" s="1772">
        <f t="shared" si="16"/>
        <v>0.99877728720546832</v>
      </c>
    </row>
    <row r="101" spans="1:6" x14ac:dyDescent="0.2">
      <c r="A101" s="585"/>
      <c r="B101" s="563" t="s">
        <v>1325</v>
      </c>
      <c r="C101" s="589"/>
      <c r="D101" s="565">
        <v>1000</v>
      </c>
      <c r="E101" s="1316">
        <v>999.7</v>
      </c>
      <c r="F101" s="1773">
        <f t="shared" si="16"/>
        <v>0.99970000000000003</v>
      </c>
    </row>
    <row r="102" spans="1:6" x14ac:dyDescent="0.2">
      <c r="A102" s="559" t="s">
        <v>1326</v>
      </c>
      <c r="B102" s="567" t="s">
        <v>1159</v>
      </c>
      <c r="C102" s="559">
        <v>557</v>
      </c>
      <c r="D102" s="561">
        <f>SUM(D103:D108)</f>
        <v>20694.82</v>
      </c>
      <c r="E102" s="561">
        <f>SUM(E103:E108)</f>
        <v>20427.34</v>
      </c>
      <c r="F102" s="1269">
        <f>E102/D102</f>
        <v>0.98707502650421697</v>
      </c>
    </row>
    <row r="103" spans="1:6" x14ac:dyDescent="0.2">
      <c r="A103" s="568"/>
      <c r="B103" s="563" t="s">
        <v>1170</v>
      </c>
      <c r="C103" s="568"/>
      <c r="D103" s="1317">
        <v>2000</v>
      </c>
      <c r="E103" s="573">
        <v>1999.19</v>
      </c>
      <c r="F103" s="1774">
        <f>E103/D103</f>
        <v>0.99959500000000001</v>
      </c>
    </row>
    <row r="104" spans="1:6" x14ac:dyDescent="0.2">
      <c r="A104" s="568"/>
      <c r="B104" s="563" t="s">
        <v>1327</v>
      </c>
      <c r="C104" s="568"/>
      <c r="D104" s="1317">
        <v>8300</v>
      </c>
      <c r="E104" s="573">
        <v>8051.53</v>
      </c>
      <c r="F104" s="1774">
        <f t="shared" ref="F104:F108" si="17">E104/D104</f>
        <v>0.97006385542168672</v>
      </c>
    </row>
    <row r="105" spans="1:6" x14ac:dyDescent="0.2">
      <c r="A105" s="568"/>
      <c r="B105" s="563" t="s">
        <v>1328</v>
      </c>
      <c r="C105" s="568"/>
      <c r="D105" s="1317">
        <v>4000</v>
      </c>
      <c r="E105" s="573">
        <v>3983.73</v>
      </c>
      <c r="F105" s="1774">
        <f t="shared" si="17"/>
        <v>0.9959325</v>
      </c>
    </row>
    <row r="106" spans="1:6" x14ac:dyDescent="0.2">
      <c r="A106" s="578"/>
      <c r="B106" s="563" t="s">
        <v>1329</v>
      </c>
      <c r="C106" s="578"/>
      <c r="D106" s="1317">
        <v>4394.82</v>
      </c>
      <c r="E106" s="573">
        <v>4393.2700000000004</v>
      </c>
      <c r="F106" s="1774">
        <f t="shared" si="17"/>
        <v>0.99964731206283775</v>
      </c>
    </row>
    <row r="107" spans="1:6" x14ac:dyDescent="0.2">
      <c r="A107" s="578"/>
      <c r="B107" s="563" t="s">
        <v>1330</v>
      </c>
      <c r="C107" s="578"/>
      <c r="D107" s="1317">
        <v>1000</v>
      </c>
      <c r="E107" s="573">
        <v>999.62</v>
      </c>
      <c r="F107" s="1774">
        <f t="shared" si="17"/>
        <v>0.99961999999999995</v>
      </c>
    </row>
    <row r="108" spans="1:6" x14ac:dyDescent="0.2">
      <c r="A108" s="578"/>
      <c r="B108" s="563" t="s">
        <v>1331</v>
      </c>
      <c r="C108" s="578"/>
      <c r="D108" s="1317">
        <v>1000</v>
      </c>
      <c r="E108" s="575">
        <v>1000</v>
      </c>
      <c r="F108" s="1775">
        <f t="shared" si="17"/>
        <v>1</v>
      </c>
    </row>
    <row r="109" spans="1:6" x14ac:dyDescent="0.2">
      <c r="A109" s="559" t="s">
        <v>1332</v>
      </c>
      <c r="B109" s="567" t="s">
        <v>1186</v>
      </c>
      <c r="C109" s="559">
        <v>347</v>
      </c>
      <c r="D109" s="561">
        <f>SUM(D110:D113)</f>
        <v>14953.85</v>
      </c>
      <c r="E109" s="561">
        <f>SUM(E110:E113)</f>
        <v>14588.260000000002</v>
      </c>
      <c r="F109" s="1269">
        <f>E109/D109</f>
        <v>0.97555211534153419</v>
      </c>
    </row>
    <row r="110" spans="1:6" x14ac:dyDescent="0.2">
      <c r="A110" s="568"/>
      <c r="B110" s="563" t="s">
        <v>1333</v>
      </c>
      <c r="C110" s="568"/>
      <c r="D110" s="565">
        <v>3000</v>
      </c>
      <c r="E110" s="588">
        <v>2998.81</v>
      </c>
      <c r="F110" s="1267">
        <f>E110/D110</f>
        <v>0.99960333333333329</v>
      </c>
    </row>
    <row r="111" spans="1:6" ht="22.5" x14ac:dyDescent="0.2">
      <c r="A111" s="562"/>
      <c r="B111" s="563" t="s">
        <v>1334</v>
      </c>
      <c r="C111" s="578"/>
      <c r="D111" s="565">
        <v>3453.85</v>
      </c>
      <c r="E111" s="588">
        <v>3101.46</v>
      </c>
      <c r="F111" s="1267">
        <f t="shared" ref="F111:F113" si="18">E111/D111</f>
        <v>0.89797182853916646</v>
      </c>
    </row>
    <row r="112" spans="1:6" x14ac:dyDescent="0.2">
      <c r="A112" s="562"/>
      <c r="B112" s="563" t="s">
        <v>1335</v>
      </c>
      <c r="C112" s="578"/>
      <c r="D112" s="565">
        <v>3000</v>
      </c>
      <c r="E112" s="588">
        <v>2989.36</v>
      </c>
      <c r="F112" s="1267">
        <f t="shared" si="18"/>
        <v>0.99645333333333341</v>
      </c>
    </row>
    <row r="113" spans="1:6" ht="13.5" thickBot="1" x14ac:dyDescent="0.25">
      <c r="A113" s="562"/>
      <c r="B113" s="563" t="s">
        <v>1336</v>
      </c>
      <c r="C113" s="578"/>
      <c r="D113" s="565">
        <v>5500</v>
      </c>
      <c r="E113" s="588">
        <v>5498.63</v>
      </c>
      <c r="F113" s="1267">
        <f t="shared" si="18"/>
        <v>0.99975090909090913</v>
      </c>
    </row>
    <row r="114" spans="1:6" ht="15" thickBot="1" x14ac:dyDescent="0.25">
      <c r="A114" s="591"/>
      <c r="B114" s="592" t="s">
        <v>1134</v>
      </c>
      <c r="C114" s="593">
        <f>C109+C102+C97+C90+C70+C65+C60+C53+C50+C44+C39+C29+C23+C17+C10+C4+C81</f>
        <v>6916</v>
      </c>
      <c r="D114" s="594">
        <f>D109+D102+D97+D90+D81+D70+D65+D60+D53+D50+D44+D39+D29+D23+D17+D10+D4</f>
        <v>271082.90999999997</v>
      </c>
      <c r="E114" s="594">
        <f t="shared" ref="E114" si="19">E109+E102+E97+E90+E81+E70+E65+E60+E53+E50+E44+E39+E29+E23+E17+E10+E4</f>
        <v>263625.49</v>
      </c>
      <c r="F114" s="1272">
        <f>E114/D114</f>
        <v>0.97249026137427852</v>
      </c>
    </row>
    <row r="115" spans="1:6" x14ac:dyDescent="0.2">
      <c r="F115" s="1273"/>
    </row>
  </sheetData>
  <mergeCells count="2">
    <mergeCell ref="C1:F1"/>
    <mergeCell ref="A2:F2"/>
  </mergeCells>
  <pageMargins left="1.1023622047244095" right="0" top="0.35433070866141736" bottom="0.55118110236220474" header="0.11811023622047245" footer="0.11811023622047245"/>
  <pageSetup paperSize="9" orientation="portrait" r:id="rId1"/>
  <headerFooter>
    <oddFooter>Strona &amp;P z &amp;N</oddFooter>
  </headerFooter>
  <rowBreaks count="2" manualBreakCount="2">
    <brk id="49" max="16383" man="1"/>
    <brk id="96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9"/>
  <sheetViews>
    <sheetView showGridLines="0" workbookViewId="0">
      <selection activeCell="L2" sqref="L2"/>
    </sheetView>
  </sheetViews>
  <sheetFormatPr defaultRowHeight="12.75" x14ac:dyDescent="0.2"/>
  <cols>
    <col min="1" max="1" width="4.85546875" style="6" customWidth="1"/>
    <col min="2" max="2" width="7.7109375" style="6" customWidth="1"/>
    <col min="3" max="3" width="9" style="6" customWidth="1"/>
    <col min="4" max="4" width="36.5703125" style="6" customWidth="1"/>
    <col min="5" max="5" width="12.7109375" style="6" customWidth="1"/>
    <col min="6" max="6" width="12" style="6" customWidth="1"/>
    <col min="7" max="7" width="13" style="6" customWidth="1"/>
    <col min="8" max="8" width="14" style="6" customWidth="1"/>
    <col min="9" max="9" width="9.140625" style="6"/>
    <col min="10" max="10" width="13.7109375" style="6" customWidth="1"/>
    <col min="11" max="249" width="9.140625" style="6"/>
    <col min="250" max="250" width="2.140625" style="6" customWidth="1"/>
    <col min="251" max="251" width="8.7109375" style="6" customWidth="1"/>
    <col min="252" max="252" width="9.85546875" style="6" customWidth="1"/>
    <col min="253" max="253" width="1" style="6" customWidth="1"/>
    <col min="254" max="254" width="10.85546875" style="6" customWidth="1"/>
    <col min="255" max="255" width="1" style="6" customWidth="1"/>
    <col min="256" max="256" width="53.5703125" style="6" customWidth="1"/>
    <col min="257" max="258" width="22.85546875" style="6" customWidth="1"/>
    <col min="259" max="259" width="8.7109375" style="6" customWidth="1"/>
    <col min="260" max="260" width="14.140625" style="6" customWidth="1"/>
    <col min="261" max="505" width="9.140625" style="6"/>
    <col min="506" max="506" width="2.140625" style="6" customWidth="1"/>
    <col min="507" max="507" width="8.7109375" style="6" customWidth="1"/>
    <col min="508" max="508" width="9.85546875" style="6" customWidth="1"/>
    <col min="509" max="509" width="1" style="6" customWidth="1"/>
    <col min="510" max="510" width="10.85546875" style="6" customWidth="1"/>
    <col min="511" max="511" width="1" style="6" customWidth="1"/>
    <col min="512" max="512" width="53.5703125" style="6" customWidth="1"/>
    <col min="513" max="514" width="22.85546875" style="6" customWidth="1"/>
    <col min="515" max="515" width="8.7109375" style="6" customWidth="1"/>
    <col min="516" max="516" width="14.140625" style="6" customWidth="1"/>
    <col min="517" max="761" width="9.140625" style="6"/>
    <col min="762" max="762" width="2.140625" style="6" customWidth="1"/>
    <col min="763" max="763" width="8.7109375" style="6" customWidth="1"/>
    <col min="764" max="764" width="9.85546875" style="6" customWidth="1"/>
    <col min="765" max="765" width="1" style="6" customWidth="1"/>
    <col min="766" max="766" width="10.85546875" style="6" customWidth="1"/>
    <col min="767" max="767" width="1" style="6" customWidth="1"/>
    <col min="768" max="768" width="53.5703125" style="6" customWidth="1"/>
    <col min="769" max="770" width="22.85546875" style="6" customWidth="1"/>
    <col min="771" max="771" width="8.7109375" style="6" customWidth="1"/>
    <col min="772" max="772" width="14.140625" style="6" customWidth="1"/>
    <col min="773" max="1017" width="9.140625" style="6"/>
    <col min="1018" max="1018" width="2.140625" style="6" customWidth="1"/>
    <col min="1019" max="1019" width="8.7109375" style="6" customWidth="1"/>
    <col min="1020" max="1020" width="9.85546875" style="6" customWidth="1"/>
    <col min="1021" max="1021" width="1" style="6" customWidth="1"/>
    <col min="1022" max="1022" width="10.85546875" style="6" customWidth="1"/>
    <col min="1023" max="1023" width="1" style="6" customWidth="1"/>
    <col min="1024" max="1024" width="53.5703125" style="6" customWidth="1"/>
    <col min="1025" max="1026" width="22.85546875" style="6" customWidth="1"/>
    <col min="1027" max="1027" width="8.7109375" style="6" customWidth="1"/>
    <col min="1028" max="1028" width="14.140625" style="6" customWidth="1"/>
    <col min="1029" max="1273" width="9.140625" style="6"/>
    <col min="1274" max="1274" width="2.140625" style="6" customWidth="1"/>
    <col min="1275" max="1275" width="8.7109375" style="6" customWidth="1"/>
    <col min="1276" max="1276" width="9.85546875" style="6" customWidth="1"/>
    <col min="1277" max="1277" width="1" style="6" customWidth="1"/>
    <col min="1278" max="1278" width="10.85546875" style="6" customWidth="1"/>
    <col min="1279" max="1279" width="1" style="6" customWidth="1"/>
    <col min="1280" max="1280" width="53.5703125" style="6" customWidth="1"/>
    <col min="1281" max="1282" width="22.85546875" style="6" customWidth="1"/>
    <col min="1283" max="1283" width="8.7109375" style="6" customWidth="1"/>
    <col min="1284" max="1284" width="14.140625" style="6" customWidth="1"/>
    <col min="1285" max="1529" width="9.140625" style="6"/>
    <col min="1530" max="1530" width="2.140625" style="6" customWidth="1"/>
    <col min="1531" max="1531" width="8.7109375" style="6" customWidth="1"/>
    <col min="1532" max="1532" width="9.85546875" style="6" customWidth="1"/>
    <col min="1533" max="1533" width="1" style="6" customWidth="1"/>
    <col min="1534" max="1534" width="10.85546875" style="6" customWidth="1"/>
    <col min="1535" max="1535" width="1" style="6" customWidth="1"/>
    <col min="1536" max="1536" width="53.5703125" style="6" customWidth="1"/>
    <col min="1537" max="1538" width="22.85546875" style="6" customWidth="1"/>
    <col min="1539" max="1539" width="8.7109375" style="6" customWidth="1"/>
    <col min="1540" max="1540" width="14.140625" style="6" customWidth="1"/>
    <col min="1541" max="1785" width="9.140625" style="6"/>
    <col min="1786" max="1786" width="2.140625" style="6" customWidth="1"/>
    <col min="1787" max="1787" width="8.7109375" style="6" customWidth="1"/>
    <col min="1788" max="1788" width="9.85546875" style="6" customWidth="1"/>
    <col min="1789" max="1789" width="1" style="6" customWidth="1"/>
    <col min="1790" max="1790" width="10.85546875" style="6" customWidth="1"/>
    <col min="1791" max="1791" width="1" style="6" customWidth="1"/>
    <col min="1792" max="1792" width="53.5703125" style="6" customWidth="1"/>
    <col min="1793" max="1794" width="22.85546875" style="6" customWidth="1"/>
    <col min="1795" max="1795" width="8.7109375" style="6" customWidth="1"/>
    <col min="1796" max="1796" width="14.140625" style="6" customWidth="1"/>
    <col min="1797" max="2041" width="9.140625" style="6"/>
    <col min="2042" max="2042" width="2.140625" style="6" customWidth="1"/>
    <col min="2043" max="2043" width="8.7109375" style="6" customWidth="1"/>
    <col min="2044" max="2044" width="9.85546875" style="6" customWidth="1"/>
    <col min="2045" max="2045" width="1" style="6" customWidth="1"/>
    <col min="2046" max="2046" width="10.85546875" style="6" customWidth="1"/>
    <col min="2047" max="2047" width="1" style="6" customWidth="1"/>
    <col min="2048" max="2048" width="53.5703125" style="6" customWidth="1"/>
    <col min="2049" max="2050" width="22.85546875" style="6" customWidth="1"/>
    <col min="2051" max="2051" width="8.7109375" style="6" customWidth="1"/>
    <col min="2052" max="2052" width="14.140625" style="6" customWidth="1"/>
    <col min="2053" max="2297" width="9.140625" style="6"/>
    <col min="2298" max="2298" width="2.140625" style="6" customWidth="1"/>
    <col min="2299" max="2299" width="8.7109375" style="6" customWidth="1"/>
    <col min="2300" max="2300" width="9.85546875" style="6" customWidth="1"/>
    <col min="2301" max="2301" width="1" style="6" customWidth="1"/>
    <col min="2302" max="2302" width="10.85546875" style="6" customWidth="1"/>
    <col min="2303" max="2303" width="1" style="6" customWidth="1"/>
    <col min="2304" max="2304" width="53.5703125" style="6" customWidth="1"/>
    <col min="2305" max="2306" width="22.85546875" style="6" customWidth="1"/>
    <col min="2307" max="2307" width="8.7109375" style="6" customWidth="1"/>
    <col min="2308" max="2308" width="14.140625" style="6" customWidth="1"/>
    <col min="2309" max="2553" width="9.140625" style="6"/>
    <col min="2554" max="2554" width="2.140625" style="6" customWidth="1"/>
    <col min="2555" max="2555" width="8.7109375" style="6" customWidth="1"/>
    <col min="2556" max="2556" width="9.85546875" style="6" customWidth="1"/>
    <col min="2557" max="2557" width="1" style="6" customWidth="1"/>
    <col min="2558" max="2558" width="10.85546875" style="6" customWidth="1"/>
    <col min="2559" max="2559" width="1" style="6" customWidth="1"/>
    <col min="2560" max="2560" width="53.5703125" style="6" customWidth="1"/>
    <col min="2561" max="2562" width="22.85546875" style="6" customWidth="1"/>
    <col min="2563" max="2563" width="8.7109375" style="6" customWidth="1"/>
    <col min="2564" max="2564" width="14.140625" style="6" customWidth="1"/>
    <col min="2565" max="2809" width="9.140625" style="6"/>
    <col min="2810" max="2810" width="2.140625" style="6" customWidth="1"/>
    <col min="2811" max="2811" width="8.7109375" style="6" customWidth="1"/>
    <col min="2812" max="2812" width="9.85546875" style="6" customWidth="1"/>
    <col min="2813" max="2813" width="1" style="6" customWidth="1"/>
    <col min="2814" max="2814" width="10.85546875" style="6" customWidth="1"/>
    <col min="2815" max="2815" width="1" style="6" customWidth="1"/>
    <col min="2816" max="2816" width="53.5703125" style="6" customWidth="1"/>
    <col min="2817" max="2818" width="22.85546875" style="6" customWidth="1"/>
    <col min="2819" max="2819" width="8.7109375" style="6" customWidth="1"/>
    <col min="2820" max="2820" width="14.140625" style="6" customWidth="1"/>
    <col min="2821" max="3065" width="9.140625" style="6"/>
    <col min="3066" max="3066" width="2.140625" style="6" customWidth="1"/>
    <col min="3067" max="3067" width="8.7109375" style="6" customWidth="1"/>
    <col min="3068" max="3068" width="9.85546875" style="6" customWidth="1"/>
    <col min="3069" max="3069" width="1" style="6" customWidth="1"/>
    <col min="3070" max="3070" width="10.85546875" style="6" customWidth="1"/>
    <col min="3071" max="3071" width="1" style="6" customWidth="1"/>
    <col min="3072" max="3072" width="53.5703125" style="6" customWidth="1"/>
    <col min="3073" max="3074" width="22.85546875" style="6" customWidth="1"/>
    <col min="3075" max="3075" width="8.7109375" style="6" customWidth="1"/>
    <col min="3076" max="3076" width="14.140625" style="6" customWidth="1"/>
    <col min="3077" max="3321" width="9.140625" style="6"/>
    <col min="3322" max="3322" width="2.140625" style="6" customWidth="1"/>
    <col min="3323" max="3323" width="8.7109375" style="6" customWidth="1"/>
    <col min="3324" max="3324" width="9.85546875" style="6" customWidth="1"/>
    <col min="3325" max="3325" width="1" style="6" customWidth="1"/>
    <col min="3326" max="3326" width="10.85546875" style="6" customWidth="1"/>
    <col min="3327" max="3327" width="1" style="6" customWidth="1"/>
    <col min="3328" max="3328" width="53.5703125" style="6" customWidth="1"/>
    <col min="3329" max="3330" width="22.85546875" style="6" customWidth="1"/>
    <col min="3331" max="3331" width="8.7109375" style="6" customWidth="1"/>
    <col min="3332" max="3332" width="14.140625" style="6" customWidth="1"/>
    <col min="3333" max="3577" width="9.140625" style="6"/>
    <col min="3578" max="3578" width="2.140625" style="6" customWidth="1"/>
    <col min="3579" max="3579" width="8.7109375" style="6" customWidth="1"/>
    <col min="3580" max="3580" width="9.85546875" style="6" customWidth="1"/>
    <col min="3581" max="3581" width="1" style="6" customWidth="1"/>
    <col min="3582" max="3582" width="10.85546875" style="6" customWidth="1"/>
    <col min="3583" max="3583" width="1" style="6" customWidth="1"/>
    <col min="3584" max="3584" width="53.5703125" style="6" customWidth="1"/>
    <col min="3585" max="3586" width="22.85546875" style="6" customWidth="1"/>
    <col min="3587" max="3587" width="8.7109375" style="6" customWidth="1"/>
    <col min="3588" max="3588" width="14.140625" style="6" customWidth="1"/>
    <col min="3589" max="3833" width="9.140625" style="6"/>
    <col min="3834" max="3834" width="2.140625" style="6" customWidth="1"/>
    <col min="3835" max="3835" width="8.7109375" style="6" customWidth="1"/>
    <col min="3836" max="3836" width="9.85546875" style="6" customWidth="1"/>
    <col min="3837" max="3837" width="1" style="6" customWidth="1"/>
    <col min="3838" max="3838" width="10.85546875" style="6" customWidth="1"/>
    <col min="3839" max="3839" width="1" style="6" customWidth="1"/>
    <col min="3840" max="3840" width="53.5703125" style="6" customWidth="1"/>
    <col min="3841" max="3842" width="22.85546875" style="6" customWidth="1"/>
    <col min="3843" max="3843" width="8.7109375" style="6" customWidth="1"/>
    <col min="3844" max="3844" width="14.140625" style="6" customWidth="1"/>
    <col min="3845" max="4089" width="9.140625" style="6"/>
    <col min="4090" max="4090" width="2.140625" style="6" customWidth="1"/>
    <col min="4091" max="4091" width="8.7109375" style="6" customWidth="1"/>
    <col min="4092" max="4092" width="9.85546875" style="6" customWidth="1"/>
    <col min="4093" max="4093" width="1" style="6" customWidth="1"/>
    <col min="4094" max="4094" width="10.85546875" style="6" customWidth="1"/>
    <col min="4095" max="4095" width="1" style="6" customWidth="1"/>
    <col min="4096" max="4096" width="53.5703125" style="6" customWidth="1"/>
    <col min="4097" max="4098" width="22.85546875" style="6" customWidth="1"/>
    <col min="4099" max="4099" width="8.7109375" style="6" customWidth="1"/>
    <col min="4100" max="4100" width="14.140625" style="6" customWidth="1"/>
    <col min="4101" max="4345" width="9.140625" style="6"/>
    <col min="4346" max="4346" width="2.140625" style="6" customWidth="1"/>
    <col min="4347" max="4347" width="8.7109375" style="6" customWidth="1"/>
    <col min="4348" max="4348" width="9.85546875" style="6" customWidth="1"/>
    <col min="4349" max="4349" width="1" style="6" customWidth="1"/>
    <col min="4350" max="4350" width="10.85546875" style="6" customWidth="1"/>
    <col min="4351" max="4351" width="1" style="6" customWidth="1"/>
    <col min="4352" max="4352" width="53.5703125" style="6" customWidth="1"/>
    <col min="4353" max="4354" width="22.85546875" style="6" customWidth="1"/>
    <col min="4355" max="4355" width="8.7109375" style="6" customWidth="1"/>
    <col min="4356" max="4356" width="14.140625" style="6" customWidth="1"/>
    <col min="4357" max="4601" width="9.140625" style="6"/>
    <col min="4602" max="4602" width="2.140625" style="6" customWidth="1"/>
    <col min="4603" max="4603" width="8.7109375" style="6" customWidth="1"/>
    <col min="4604" max="4604" width="9.85546875" style="6" customWidth="1"/>
    <col min="4605" max="4605" width="1" style="6" customWidth="1"/>
    <col min="4606" max="4606" width="10.85546875" style="6" customWidth="1"/>
    <col min="4607" max="4607" width="1" style="6" customWidth="1"/>
    <col min="4608" max="4608" width="53.5703125" style="6" customWidth="1"/>
    <col min="4609" max="4610" width="22.85546875" style="6" customWidth="1"/>
    <col min="4611" max="4611" width="8.7109375" style="6" customWidth="1"/>
    <col min="4612" max="4612" width="14.140625" style="6" customWidth="1"/>
    <col min="4613" max="4857" width="9.140625" style="6"/>
    <col min="4858" max="4858" width="2.140625" style="6" customWidth="1"/>
    <col min="4859" max="4859" width="8.7109375" style="6" customWidth="1"/>
    <col min="4860" max="4860" width="9.85546875" style="6" customWidth="1"/>
    <col min="4861" max="4861" width="1" style="6" customWidth="1"/>
    <col min="4862" max="4862" width="10.85546875" style="6" customWidth="1"/>
    <col min="4863" max="4863" width="1" style="6" customWidth="1"/>
    <col min="4864" max="4864" width="53.5703125" style="6" customWidth="1"/>
    <col min="4865" max="4866" width="22.85546875" style="6" customWidth="1"/>
    <col min="4867" max="4867" width="8.7109375" style="6" customWidth="1"/>
    <col min="4868" max="4868" width="14.140625" style="6" customWidth="1"/>
    <col min="4869" max="5113" width="9.140625" style="6"/>
    <col min="5114" max="5114" width="2.140625" style="6" customWidth="1"/>
    <col min="5115" max="5115" width="8.7109375" style="6" customWidth="1"/>
    <col min="5116" max="5116" width="9.85546875" style="6" customWidth="1"/>
    <col min="5117" max="5117" width="1" style="6" customWidth="1"/>
    <col min="5118" max="5118" width="10.85546875" style="6" customWidth="1"/>
    <col min="5119" max="5119" width="1" style="6" customWidth="1"/>
    <col min="5120" max="5120" width="53.5703125" style="6" customWidth="1"/>
    <col min="5121" max="5122" width="22.85546875" style="6" customWidth="1"/>
    <col min="5123" max="5123" width="8.7109375" style="6" customWidth="1"/>
    <col min="5124" max="5124" width="14.140625" style="6" customWidth="1"/>
    <col min="5125" max="5369" width="9.140625" style="6"/>
    <col min="5370" max="5370" width="2.140625" style="6" customWidth="1"/>
    <col min="5371" max="5371" width="8.7109375" style="6" customWidth="1"/>
    <col min="5372" max="5372" width="9.85546875" style="6" customWidth="1"/>
    <col min="5373" max="5373" width="1" style="6" customWidth="1"/>
    <col min="5374" max="5374" width="10.85546875" style="6" customWidth="1"/>
    <col min="5375" max="5375" width="1" style="6" customWidth="1"/>
    <col min="5376" max="5376" width="53.5703125" style="6" customWidth="1"/>
    <col min="5377" max="5378" width="22.85546875" style="6" customWidth="1"/>
    <col min="5379" max="5379" width="8.7109375" style="6" customWidth="1"/>
    <col min="5380" max="5380" width="14.140625" style="6" customWidth="1"/>
    <col min="5381" max="5625" width="9.140625" style="6"/>
    <col min="5626" max="5626" width="2.140625" style="6" customWidth="1"/>
    <col min="5627" max="5627" width="8.7109375" style="6" customWidth="1"/>
    <col min="5628" max="5628" width="9.85546875" style="6" customWidth="1"/>
    <col min="5629" max="5629" width="1" style="6" customWidth="1"/>
    <col min="5630" max="5630" width="10.85546875" style="6" customWidth="1"/>
    <col min="5631" max="5631" width="1" style="6" customWidth="1"/>
    <col min="5632" max="5632" width="53.5703125" style="6" customWidth="1"/>
    <col min="5633" max="5634" width="22.85546875" style="6" customWidth="1"/>
    <col min="5635" max="5635" width="8.7109375" style="6" customWidth="1"/>
    <col min="5636" max="5636" width="14.140625" style="6" customWidth="1"/>
    <col min="5637" max="5881" width="9.140625" style="6"/>
    <col min="5882" max="5882" width="2.140625" style="6" customWidth="1"/>
    <col min="5883" max="5883" width="8.7109375" style="6" customWidth="1"/>
    <col min="5884" max="5884" width="9.85546875" style="6" customWidth="1"/>
    <col min="5885" max="5885" width="1" style="6" customWidth="1"/>
    <col min="5886" max="5886" width="10.85546875" style="6" customWidth="1"/>
    <col min="5887" max="5887" width="1" style="6" customWidth="1"/>
    <col min="5888" max="5888" width="53.5703125" style="6" customWidth="1"/>
    <col min="5889" max="5890" width="22.85546875" style="6" customWidth="1"/>
    <col min="5891" max="5891" width="8.7109375" style="6" customWidth="1"/>
    <col min="5892" max="5892" width="14.140625" style="6" customWidth="1"/>
    <col min="5893" max="6137" width="9.140625" style="6"/>
    <col min="6138" max="6138" width="2.140625" style="6" customWidth="1"/>
    <col min="6139" max="6139" width="8.7109375" style="6" customWidth="1"/>
    <col min="6140" max="6140" width="9.85546875" style="6" customWidth="1"/>
    <col min="6141" max="6141" width="1" style="6" customWidth="1"/>
    <col min="6142" max="6142" width="10.85546875" style="6" customWidth="1"/>
    <col min="6143" max="6143" width="1" style="6" customWidth="1"/>
    <col min="6144" max="6144" width="53.5703125" style="6" customWidth="1"/>
    <col min="6145" max="6146" width="22.85546875" style="6" customWidth="1"/>
    <col min="6147" max="6147" width="8.7109375" style="6" customWidth="1"/>
    <col min="6148" max="6148" width="14.140625" style="6" customWidth="1"/>
    <col min="6149" max="6393" width="9.140625" style="6"/>
    <col min="6394" max="6394" width="2.140625" style="6" customWidth="1"/>
    <col min="6395" max="6395" width="8.7109375" style="6" customWidth="1"/>
    <col min="6396" max="6396" width="9.85546875" style="6" customWidth="1"/>
    <col min="6397" max="6397" width="1" style="6" customWidth="1"/>
    <col min="6398" max="6398" width="10.85546875" style="6" customWidth="1"/>
    <col min="6399" max="6399" width="1" style="6" customWidth="1"/>
    <col min="6400" max="6400" width="53.5703125" style="6" customWidth="1"/>
    <col min="6401" max="6402" width="22.85546875" style="6" customWidth="1"/>
    <col min="6403" max="6403" width="8.7109375" style="6" customWidth="1"/>
    <col min="6404" max="6404" width="14.140625" style="6" customWidth="1"/>
    <col min="6405" max="6649" width="9.140625" style="6"/>
    <col min="6650" max="6650" width="2.140625" style="6" customWidth="1"/>
    <col min="6651" max="6651" width="8.7109375" style="6" customWidth="1"/>
    <col min="6652" max="6652" width="9.85546875" style="6" customWidth="1"/>
    <col min="6653" max="6653" width="1" style="6" customWidth="1"/>
    <col min="6654" max="6654" width="10.85546875" style="6" customWidth="1"/>
    <col min="6655" max="6655" width="1" style="6" customWidth="1"/>
    <col min="6656" max="6656" width="53.5703125" style="6" customWidth="1"/>
    <col min="6657" max="6658" width="22.85546875" style="6" customWidth="1"/>
    <col min="6659" max="6659" width="8.7109375" style="6" customWidth="1"/>
    <col min="6660" max="6660" width="14.140625" style="6" customWidth="1"/>
    <col min="6661" max="6905" width="9.140625" style="6"/>
    <col min="6906" max="6906" width="2.140625" style="6" customWidth="1"/>
    <col min="6907" max="6907" width="8.7109375" style="6" customWidth="1"/>
    <col min="6908" max="6908" width="9.85546875" style="6" customWidth="1"/>
    <col min="6909" max="6909" width="1" style="6" customWidth="1"/>
    <col min="6910" max="6910" width="10.85546875" style="6" customWidth="1"/>
    <col min="6911" max="6911" width="1" style="6" customWidth="1"/>
    <col min="6912" max="6912" width="53.5703125" style="6" customWidth="1"/>
    <col min="6913" max="6914" width="22.85546875" style="6" customWidth="1"/>
    <col min="6915" max="6915" width="8.7109375" style="6" customWidth="1"/>
    <col min="6916" max="6916" width="14.140625" style="6" customWidth="1"/>
    <col min="6917" max="7161" width="9.140625" style="6"/>
    <col min="7162" max="7162" width="2.140625" style="6" customWidth="1"/>
    <col min="7163" max="7163" width="8.7109375" style="6" customWidth="1"/>
    <col min="7164" max="7164" width="9.85546875" style="6" customWidth="1"/>
    <col min="7165" max="7165" width="1" style="6" customWidth="1"/>
    <col min="7166" max="7166" width="10.85546875" style="6" customWidth="1"/>
    <col min="7167" max="7167" width="1" style="6" customWidth="1"/>
    <col min="7168" max="7168" width="53.5703125" style="6" customWidth="1"/>
    <col min="7169" max="7170" width="22.85546875" style="6" customWidth="1"/>
    <col min="7171" max="7171" width="8.7109375" style="6" customWidth="1"/>
    <col min="7172" max="7172" width="14.140625" style="6" customWidth="1"/>
    <col min="7173" max="7417" width="9.140625" style="6"/>
    <col min="7418" max="7418" width="2.140625" style="6" customWidth="1"/>
    <col min="7419" max="7419" width="8.7109375" style="6" customWidth="1"/>
    <col min="7420" max="7420" width="9.85546875" style="6" customWidth="1"/>
    <col min="7421" max="7421" width="1" style="6" customWidth="1"/>
    <col min="7422" max="7422" width="10.85546875" style="6" customWidth="1"/>
    <col min="7423" max="7423" width="1" style="6" customWidth="1"/>
    <col min="7424" max="7424" width="53.5703125" style="6" customWidth="1"/>
    <col min="7425" max="7426" width="22.85546875" style="6" customWidth="1"/>
    <col min="7427" max="7427" width="8.7109375" style="6" customWidth="1"/>
    <col min="7428" max="7428" width="14.140625" style="6" customWidth="1"/>
    <col min="7429" max="7673" width="9.140625" style="6"/>
    <col min="7674" max="7674" width="2.140625" style="6" customWidth="1"/>
    <col min="7675" max="7675" width="8.7109375" style="6" customWidth="1"/>
    <col min="7676" max="7676" width="9.85546875" style="6" customWidth="1"/>
    <col min="7677" max="7677" width="1" style="6" customWidth="1"/>
    <col min="7678" max="7678" width="10.85546875" style="6" customWidth="1"/>
    <col min="7679" max="7679" width="1" style="6" customWidth="1"/>
    <col min="7680" max="7680" width="53.5703125" style="6" customWidth="1"/>
    <col min="7681" max="7682" width="22.85546875" style="6" customWidth="1"/>
    <col min="7683" max="7683" width="8.7109375" style="6" customWidth="1"/>
    <col min="7684" max="7684" width="14.140625" style="6" customWidth="1"/>
    <col min="7685" max="7929" width="9.140625" style="6"/>
    <col min="7930" max="7930" width="2.140625" style="6" customWidth="1"/>
    <col min="7931" max="7931" width="8.7109375" style="6" customWidth="1"/>
    <col min="7932" max="7932" width="9.85546875" style="6" customWidth="1"/>
    <col min="7933" max="7933" width="1" style="6" customWidth="1"/>
    <col min="7934" max="7934" width="10.85546875" style="6" customWidth="1"/>
    <col min="7935" max="7935" width="1" style="6" customWidth="1"/>
    <col min="7936" max="7936" width="53.5703125" style="6" customWidth="1"/>
    <col min="7937" max="7938" width="22.85546875" style="6" customWidth="1"/>
    <col min="7939" max="7939" width="8.7109375" style="6" customWidth="1"/>
    <col min="7940" max="7940" width="14.140625" style="6" customWidth="1"/>
    <col min="7941" max="8185" width="9.140625" style="6"/>
    <col min="8186" max="8186" width="2.140625" style="6" customWidth="1"/>
    <col min="8187" max="8187" width="8.7109375" style="6" customWidth="1"/>
    <col min="8188" max="8188" width="9.85546875" style="6" customWidth="1"/>
    <col min="8189" max="8189" width="1" style="6" customWidth="1"/>
    <col min="8190" max="8190" width="10.85546875" style="6" customWidth="1"/>
    <col min="8191" max="8191" width="1" style="6" customWidth="1"/>
    <col min="8192" max="8192" width="53.5703125" style="6" customWidth="1"/>
    <col min="8193" max="8194" width="22.85546875" style="6" customWidth="1"/>
    <col min="8195" max="8195" width="8.7109375" style="6" customWidth="1"/>
    <col min="8196" max="8196" width="14.140625" style="6" customWidth="1"/>
    <col min="8197" max="8441" width="9.140625" style="6"/>
    <col min="8442" max="8442" width="2.140625" style="6" customWidth="1"/>
    <col min="8443" max="8443" width="8.7109375" style="6" customWidth="1"/>
    <col min="8444" max="8444" width="9.85546875" style="6" customWidth="1"/>
    <col min="8445" max="8445" width="1" style="6" customWidth="1"/>
    <col min="8446" max="8446" width="10.85546875" style="6" customWidth="1"/>
    <col min="8447" max="8447" width="1" style="6" customWidth="1"/>
    <col min="8448" max="8448" width="53.5703125" style="6" customWidth="1"/>
    <col min="8449" max="8450" width="22.85546875" style="6" customWidth="1"/>
    <col min="8451" max="8451" width="8.7109375" style="6" customWidth="1"/>
    <col min="8452" max="8452" width="14.140625" style="6" customWidth="1"/>
    <col min="8453" max="8697" width="9.140625" style="6"/>
    <col min="8698" max="8698" width="2.140625" style="6" customWidth="1"/>
    <col min="8699" max="8699" width="8.7109375" style="6" customWidth="1"/>
    <col min="8700" max="8700" width="9.85546875" style="6" customWidth="1"/>
    <col min="8701" max="8701" width="1" style="6" customWidth="1"/>
    <col min="8702" max="8702" width="10.85546875" style="6" customWidth="1"/>
    <col min="8703" max="8703" width="1" style="6" customWidth="1"/>
    <col min="8704" max="8704" width="53.5703125" style="6" customWidth="1"/>
    <col min="8705" max="8706" width="22.85546875" style="6" customWidth="1"/>
    <col min="8707" max="8707" width="8.7109375" style="6" customWidth="1"/>
    <col min="8708" max="8708" width="14.140625" style="6" customWidth="1"/>
    <col min="8709" max="8953" width="9.140625" style="6"/>
    <col min="8954" max="8954" width="2.140625" style="6" customWidth="1"/>
    <col min="8955" max="8955" width="8.7109375" style="6" customWidth="1"/>
    <col min="8956" max="8956" width="9.85546875" style="6" customWidth="1"/>
    <col min="8957" max="8957" width="1" style="6" customWidth="1"/>
    <col min="8958" max="8958" width="10.85546875" style="6" customWidth="1"/>
    <col min="8959" max="8959" width="1" style="6" customWidth="1"/>
    <col min="8960" max="8960" width="53.5703125" style="6" customWidth="1"/>
    <col min="8961" max="8962" width="22.85546875" style="6" customWidth="1"/>
    <col min="8963" max="8963" width="8.7109375" style="6" customWidth="1"/>
    <col min="8964" max="8964" width="14.140625" style="6" customWidth="1"/>
    <col min="8965" max="9209" width="9.140625" style="6"/>
    <col min="9210" max="9210" width="2.140625" style="6" customWidth="1"/>
    <col min="9211" max="9211" width="8.7109375" style="6" customWidth="1"/>
    <col min="9212" max="9212" width="9.85546875" style="6" customWidth="1"/>
    <col min="9213" max="9213" width="1" style="6" customWidth="1"/>
    <col min="9214" max="9214" width="10.85546875" style="6" customWidth="1"/>
    <col min="9215" max="9215" width="1" style="6" customWidth="1"/>
    <col min="9216" max="9216" width="53.5703125" style="6" customWidth="1"/>
    <col min="9217" max="9218" width="22.85546875" style="6" customWidth="1"/>
    <col min="9219" max="9219" width="8.7109375" style="6" customWidth="1"/>
    <col min="9220" max="9220" width="14.140625" style="6" customWidth="1"/>
    <col min="9221" max="9465" width="9.140625" style="6"/>
    <col min="9466" max="9466" width="2.140625" style="6" customWidth="1"/>
    <col min="9467" max="9467" width="8.7109375" style="6" customWidth="1"/>
    <col min="9468" max="9468" width="9.85546875" style="6" customWidth="1"/>
    <col min="9469" max="9469" width="1" style="6" customWidth="1"/>
    <col min="9470" max="9470" width="10.85546875" style="6" customWidth="1"/>
    <col min="9471" max="9471" width="1" style="6" customWidth="1"/>
    <col min="9472" max="9472" width="53.5703125" style="6" customWidth="1"/>
    <col min="9473" max="9474" width="22.85546875" style="6" customWidth="1"/>
    <col min="9475" max="9475" width="8.7109375" style="6" customWidth="1"/>
    <col min="9476" max="9476" width="14.140625" style="6" customWidth="1"/>
    <col min="9477" max="9721" width="9.140625" style="6"/>
    <col min="9722" max="9722" width="2.140625" style="6" customWidth="1"/>
    <col min="9723" max="9723" width="8.7109375" style="6" customWidth="1"/>
    <col min="9724" max="9724" width="9.85546875" style="6" customWidth="1"/>
    <col min="9725" max="9725" width="1" style="6" customWidth="1"/>
    <col min="9726" max="9726" width="10.85546875" style="6" customWidth="1"/>
    <col min="9727" max="9727" width="1" style="6" customWidth="1"/>
    <col min="9728" max="9728" width="53.5703125" style="6" customWidth="1"/>
    <col min="9729" max="9730" width="22.85546875" style="6" customWidth="1"/>
    <col min="9731" max="9731" width="8.7109375" style="6" customWidth="1"/>
    <col min="9732" max="9732" width="14.140625" style="6" customWidth="1"/>
    <col min="9733" max="9977" width="9.140625" style="6"/>
    <col min="9978" max="9978" width="2.140625" style="6" customWidth="1"/>
    <col min="9979" max="9979" width="8.7109375" style="6" customWidth="1"/>
    <col min="9980" max="9980" width="9.85546875" style="6" customWidth="1"/>
    <col min="9981" max="9981" width="1" style="6" customWidth="1"/>
    <col min="9982" max="9982" width="10.85546875" style="6" customWidth="1"/>
    <col min="9983" max="9983" width="1" style="6" customWidth="1"/>
    <col min="9984" max="9984" width="53.5703125" style="6" customWidth="1"/>
    <col min="9985" max="9986" width="22.85546875" style="6" customWidth="1"/>
    <col min="9987" max="9987" width="8.7109375" style="6" customWidth="1"/>
    <col min="9988" max="9988" width="14.140625" style="6" customWidth="1"/>
    <col min="9989" max="10233" width="9.140625" style="6"/>
    <col min="10234" max="10234" width="2.140625" style="6" customWidth="1"/>
    <col min="10235" max="10235" width="8.7109375" style="6" customWidth="1"/>
    <col min="10236" max="10236" width="9.85546875" style="6" customWidth="1"/>
    <col min="10237" max="10237" width="1" style="6" customWidth="1"/>
    <col min="10238" max="10238" width="10.85546875" style="6" customWidth="1"/>
    <col min="10239" max="10239" width="1" style="6" customWidth="1"/>
    <col min="10240" max="10240" width="53.5703125" style="6" customWidth="1"/>
    <col min="10241" max="10242" width="22.85546875" style="6" customWidth="1"/>
    <col min="10243" max="10243" width="8.7109375" style="6" customWidth="1"/>
    <col min="10244" max="10244" width="14.140625" style="6" customWidth="1"/>
    <col min="10245" max="10489" width="9.140625" style="6"/>
    <col min="10490" max="10490" width="2.140625" style="6" customWidth="1"/>
    <col min="10491" max="10491" width="8.7109375" style="6" customWidth="1"/>
    <col min="10492" max="10492" width="9.85546875" style="6" customWidth="1"/>
    <col min="10493" max="10493" width="1" style="6" customWidth="1"/>
    <col min="10494" max="10494" width="10.85546875" style="6" customWidth="1"/>
    <col min="10495" max="10495" width="1" style="6" customWidth="1"/>
    <col min="10496" max="10496" width="53.5703125" style="6" customWidth="1"/>
    <col min="10497" max="10498" width="22.85546875" style="6" customWidth="1"/>
    <col min="10499" max="10499" width="8.7109375" style="6" customWidth="1"/>
    <col min="10500" max="10500" width="14.140625" style="6" customWidth="1"/>
    <col min="10501" max="10745" width="9.140625" style="6"/>
    <col min="10746" max="10746" width="2.140625" style="6" customWidth="1"/>
    <col min="10747" max="10747" width="8.7109375" style="6" customWidth="1"/>
    <col min="10748" max="10748" width="9.85546875" style="6" customWidth="1"/>
    <col min="10749" max="10749" width="1" style="6" customWidth="1"/>
    <col min="10750" max="10750" width="10.85546875" style="6" customWidth="1"/>
    <col min="10751" max="10751" width="1" style="6" customWidth="1"/>
    <col min="10752" max="10752" width="53.5703125" style="6" customWidth="1"/>
    <col min="10753" max="10754" width="22.85546875" style="6" customWidth="1"/>
    <col min="10755" max="10755" width="8.7109375" style="6" customWidth="1"/>
    <col min="10756" max="10756" width="14.140625" style="6" customWidth="1"/>
    <col min="10757" max="11001" width="9.140625" style="6"/>
    <col min="11002" max="11002" width="2.140625" style="6" customWidth="1"/>
    <col min="11003" max="11003" width="8.7109375" style="6" customWidth="1"/>
    <col min="11004" max="11004" width="9.85546875" style="6" customWidth="1"/>
    <col min="11005" max="11005" width="1" style="6" customWidth="1"/>
    <col min="11006" max="11006" width="10.85546875" style="6" customWidth="1"/>
    <col min="11007" max="11007" width="1" style="6" customWidth="1"/>
    <col min="11008" max="11008" width="53.5703125" style="6" customWidth="1"/>
    <col min="11009" max="11010" width="22.85546875" style="6" customWidth="1"/>
    <col min="11011" max="11011" width="8.7109375" style="6" customWidth="1"/>
    <col min="11012" max="11012" width="14.140625" style="6" customWidth="1"/>
    <col min="11013" max="11257" width="9.140625" style="6"/>
    <col min="11258" max="11258" width="2.140625" style="6" customWidth="1"/>
    <col min="11259" max="11259" width="8.7109375" style="6" customWidth="1"/>
    <col min="11260" max="11260" width="9.85546875" style="6" customWidth="1"/>
    <col min="11261" max="11261" width="1" style="6" customWidth="1"/>
    <col min="11262" max="11262" width="10.85546875" style="6" customWidth="1"/>
    <col min="11263" max="11263" width="1" style="6" customWidth="1"/>
    <col min="11264" max="11264" width="53.5703125" style="6" customWidth="1"/>
    <col min="11265" max="11266" width="22.85546875" style="6" customWidth="1"/>
    <col min="11267" max="11267" width="8.7109375" style="6" customWidth="1"/>
    <col min="11268" max="11268" width="14.140625" style="6" customWidth="1"/>
    <col min="11269" max="11513" width="9.140625" style="6"/>
    <col min="11514" max="11514" width="2.140625" style="6" customWidth="1"/>
    <col min="11515" max="11515" width="8.7109375" style="6" customWidth="1"/>
    <col min="11516" max="11516" width="9.85546875" style="6" customWidth="1"/>
    <col min="11517" max="11517" width="1" style="6" customWidth="1"/>
    <col min="11518" max="11518" width="10.85546875" style="6" customWidth="1"/>
    <col min="11519" max="11519" width="1" style="6" customWidth="1"/>
    <col min="11520" max="11520" width="53.5703125" style="6" customWidth="1"/>
    <col min="11521" max="11522" width="22.85546875" style="6" customWidth="1"/>
    <col min="11523" max="11523" width="8.7109375" style="6" customWidth="1"/>
    <col min="11524" max="11524" width="14.140625" style="6" customWidth="1"/>
    <col min="11525" max="11769" width="9.140625" style="6"/>
    <col min="11770" max="11770" width="2.140625" style="6" customWidth="1"/>
    <col min="11771" max="11771" width="8.7109375" style="6" customWidth="1"/>
    <col min="11772" max="11772" width="9.85546875" style="6" customWidth="1"/>
    <col min="11773" max="11773" width="1" style="6" customWidth="1"/>
    <col min="11774" max="11774" width="10.85546875" style="6" customWidth="1"/>
    <col min="11775" max="11775" width="1" style="6" customWidth="1"/>
    <col min="11776" max="11776" width="53.5703125" style="6" customWidth="1"/>
    <col min="11777" max="11778" width="22.85546875" style="6" customWidth="1"/>
    <col min="11779" max="11779" width="8.7109375" style="6" customWidth="1"/>
    <col min="11780" max="11780" width="14.140625" style="6" customWidth="1"/>
    <col min="11781" max="12025" width="9.140625" style="6"/>
    <col min="12026" max="12026" width="2.140625" style="6" customWidth="1"/>
    <col min="12027" max="12027" width="8.7109375" style="6" customWidth="1"/>
    <col min="12028" max="12028" width="9.85546875" style="6" customWidth="1"/>
    <col min="12029" max="12029" width="1" style="6" customWidth="1"/>
    <col min="12030" max="12030" width="10.85546875" style="6" customWidth="1"/>
    <col min="12031" max="12031" width="1" style="6" customWidth="1"/>
    <col min="12032" max="12032" width="53.5703125" style="6" customWidth="1"/>
    <col min="12033" max="12034" width="22.85546875" style="6" customWidth="1"/>
    <col min="12035" max="12035" width="8.7109375" style="6" customWidth="1"/>
    <col min="12036" max="12036" width="14.140625" style="6" customWidth="1"/>
    <col min="12037" max="12281" width="9.140625" style="6"/>
    <col min="12282" max="12282" width="2.140625" style="6" customWidth="1"/>
    <col min="12283" max="12283" width="8.7109375" style="6" customWidth="1"/>
    <col min="12284" max="12284" width="9.85546875" style="6" customWidth="1"/>
    <col min="12285" max="12285" width="1" style="6" customWidth="1"/>
    <col min="12286" max="12286" width="10.85546875" style="6" customWidth="1"/>
    <col min="12287" max="12287" width="1" style="6" customWidth="1"/>
    <col min="12288" max="12288" width="53.5703125" style="6" customWidth="1"/>
    <col min="12289" max="12290" width="22.85546875" style="6" customWidth="1"/>
    <col min="12291" max="12291" width="8.7109375" style="6" customWidth="1"/>
    <col min="12292" max="12292" width="14.140625" style="6" customWidth="1"/>
    <col min="12293" max="12537" width="9.140625" style="6"/>
    <col min="12538" max="12538" width="2.140625" style="6" customWidth="1"/>
    <col min="12539" max="12539" width="8.7109375" style="6" customWidth="1"/>
    <col min="12540" max="12540" width="9.85546875" style="6" customWidth="1"/>
    <col min="12541" max="12541" width="1" style="6" customWidth="1"/>
    <col min="12542" max="12542" width="10.85546875" style="6" customWidth="1"/>
    <col min="12543" max="12543" width="1" style="6" customWidth="1"/>
    <col min="12544" max="12544" width="53.5703125" style="6" customWidth="1"/>
    <col min="12545" max="12546" width="22.85546875" style="6" customWidth="1"/>
    <col min="12547" max="12547" width="8.7109375" style="6" customWidth="1"/>
    <col min="12548" max="12548" width="14.140625" style="6" customWidth="1"/>
    <col min="12549" max="12793" width="9.140625" style="6"/>
    <col min="12794" max="12794" width="2.140625" style="6" customWidth="1"/>
    <col min="12795" max="12795" width="8.7109375" style="6" customWidth="1"/>
    <col min="12796" max="12796" width="9.85546875" style="6" customWidth="1"/>
    <col min="12797" max="12797" width="1" style="6" customWidth="1"/>
    <col min="12798" max="12798" width="10.85546875" style="6" customWidth="1"/>
    <col min="12799" max="12799" width="1" style="6" customWidth="1"/>
    <col min="12800" max="12800" width="53.5703125" style="6" customWidth="1"/>
    <col min="12801" max="12802" width="22.85546875" style="6" customWidth="1"/>
    <col min="12803" max="12803" width="8.7109375" style="6" customWidth="1"/>
    <col min="12804" max="12804" width="14.140625" style="6" customWidth="1"/>
    <col min="12805" max="13049" width="9.140625" style="6"/>
    <col min="13050" max="13050" width="2.140625" style="6" customWidth="1"/>
    <col min="13051" max="13051" width="8.7109375" style="6" customWidth="1"/>
    <col min="13052" max="13052" width="9.85546875" style="6" customWidth="1"/>
    <col min="13053" max="13053" width="1" style="6" customWidth="1"/>
    <col min="13054" max="13054" width="10.85546875" style="6" customWidth="1"/>
    <col min="13055" max="13055" width="1" style="6" customWidth="1"/>
    <col min="13056" max="13056" width="53.5703125" style="6" customWidth="1"/>
    <col min="13057" max="13058" width="22.85546875" style="6" customWidth="1"/>
    <col min="13059" max="13059" width="8.7109375" style="6" customWidth="1"/>
    <col min="13060" max="13060" width="14.140625" style="6" customWidth="1"/>
    <col min="13061" max="13305" width="9.140625" style="6"/>
    <col min="13306" max="13306" width="2.140625" style="6" customWidth="1"/>
    <col min="13307" max="13307" width="8.7109375" style="6" customWidth="1"/>
    <col min="13308" max="13308" width="9.85546875" style="6" customWidth="1"/>
    <col min="13309" max="13309" width="1" style="6" customWidth="1"/>
    <col min="13310" max="13310" width="10.85546875" style="6" customWidth="1"/>
    <col min="13311" max="13311" width="1" style="6" customWidth="1"/>
    <col min="13312" max="13312" width="53.5703125" style="6" customWidth="1"/>
    <col min="13313" max="13314" width="22.85546875" style="6" customWidth="1"/>
    <col min="13315" max="13315" width="8.7109375" style="6" customWidth="1"/>
    <col min="13316" max="13316" width="14.140625" style="6" customWidth="1"/>
    <col min="13317" max="13561" width="9.140625" style="6"/>
    <col min="13562" max="13562" width="2.140625" style="6" customWidth="1"/>
    <col min="13563" max="13563" width="8.7109375" style="6" customWidth="1"/>
    <col min="13564" max="13564" width="9.85546875" style="6" customWidth="1"/>
    <col min="13565" max="13565" width="1" style="6" customWidth="1"/>
    <col min="13566" max="13566" width="10.85546875" style="6" customWidth="1"/>
    <col min="13567" max="13567" width="1" style="6" customWidth="1"/>
    <col min="13568" max="13568" width="53.5703125" style="6" customWidth="1"/>
    <col min="13569" max="13570" width="22.85546875" style="6" customWidth="1"/>
    <col min="13571" max="13571" width="8.7109375" style="6" customWidth="1"/>
    <col min="13572" max="13572" width="14.140625" style="6" customWidth="1"/>
    <col min="13573" max="13817" width="9.140625" style="6"/>
    <col min="13818" max="13818" width="2.140625" style="6" customWidth="1"/>
    <col min="13819" max="13819" width="8.7109375" style="6" customWidth="1"/>
    <col min="13820" max="13820" width="9.85546875" style="6" customWidth="1"/>
    <col min="13821" max="13821" width="1" style="6" customWidth="1"/>
    <col min="13822" max="13822" width="10.85546875" style="6" customWidth="1"/>
    <col min="13823" max="13823" width="1" style="6" customWidth="1"/>
    <col min="13824" max="13824" width="53.5703125" style="6" customWidth="1"/>
    <col min="13825" max="13826" width="22.85546875" style="6" customWidth="1"/>
    <col min="13827" max="13827" width="8.7109375" style="6" customWidth="1"/>
    <col min="13828" max="13828" width="14.140625" style="6" customWidth="1"/>
    <col min="13829" max="14073" width="9.140625" style="6"/>
    <col min="14074" max="14074" width="2.140625" style="6" customWidth="1"/>
    <col min="14075" max="14075" width="8.7109375" style="6" customWidth="1"/>
    <col min="14076" max="14076" width="9.85546875" style="6" customWidth="1"/>
    <col min="14077" max="14077" width="1" style="6" customWidth="1"/>
    <col min="14078" max="14078" width="10.85546875" style="6" customWidth="1"/>
    <col min="14079" max="14079" width="1" style="6" customWidth="1"/>
    <col min="14080" max="14080" width="53.5703125" style="6" customWidth="1"/>
    <col min="14081" max="14082" width="22.85546875" style="6" customWidth="1"/>
    <col min="14083" max="14083" width="8.7109375" style="6" customWidth="1"/>
    <col min="14084" max="14084" width="14.140625" style="6" customWidth="1"/>
    <col min="14085" max="14329" width="9.140625" style="6"/>
    <col min="14330" max="14330" width="2.140625" style="6" customWidth="1"/>
    <col min="14331" max="14331" width="8.7109375" style="6" customWidth="1"/>
    <col min="14332" max="14332" width="9.85546875" style="6" customWidth="1"/>
    <col min="14333" max="14333" width="1" style="6" customWidth="1"/>
    <col min="14334" max="14334" width="10.85546875" style="6" customWidth="1"/>
    <col min="14335" max="14335" width="1" style="6" customWidth="1"/>
    <col min="14336" max="14336" width="53.5703125" style="6" customWidth="1"/>
    <col min="14337" max="14338" width="22.85546875" style="6" customWidth="1"/>
    <col min="14339" max="14339" width="8.7109375" style="6" customWidth="1"/>
    <col min="14340" max="14340" width="14.140625" style="6" customWidth="1"/>
    <col min="14341" max="14585" width="9.140625" style="6"/>
    <col min="14586" max="14586" width="2.140625" style="6" customWidth="1"/>
    <col min="14587" max="14587" width="8.7109375" style="6" customWidth="1"/>
    <col min="14588" max="14588" width="9.85546875" style="6" customWidth="1"/>
    <col min="14589" max="14589" width="1" style="6" customWidth="1"/>
    <col min="14590" max="14590" width="10.85546875" style="6" customWidth="1"/>
    <col min="14591" max="14591" width="1" style="6" customWidth="1"/>
    <col min="14592" max="14592" width="53.5703125" style="6" customWidth="1"/>
    <col min="14593" max="14594" width="22.85546875" style="6" customWidth="1"/>
    <col min="14595" max="14595" width="8.7109375" style="6" customWidth="1"/>
    <col min="14596" max="14596" width="14.140625" style="6" customWidth="1"/>
    <col min="14597" max="14841" width="9.140625" style="6"/>
    <col min="14842" max="14842" width="2.140625" style="6" customWidth="1"/>
    <col min="14843" max="14843" width="8.7109375" style="6" customWidth="1"/>
    <col min="14844" max="14844" width="9.85546875" style="6" customWidth="1"/>
    <col min="14845" max="14845" width="1" style="6" customWidth="1"/>
    <col min="14846" max="14846" width="10.85546875" style="6" customWidth="1"/>
    <col min="14847" max="14847" width="1" style="6" customWidth="1"/>
    <col min="14848" max="14848" width="53.5703125" style="6" customWidth="1"/>
    <col min="14849" max="14850" width="22.85546875" style="6" customWidth="1"/>
    <col min="14851" max="14851" width="8.7109375" style="6" customWidth="1"/>
    <col min="14852" max="14852" width="14.140625" style="6" customWidth="1"/>
    <col min="14853" max="15097" width="9.140625" style="6"/>
    <col min="15098" max="15098" width="2.140625" style="6" customWidth="1"/>
    <col min="15099" max="15099" width="8.7109375" style="6" customWidth="1"/>
    <col min="15100" max="15100" width="9.85546875" style="6" customWidth="1"/>
    <col min="15101" max="15101" width="1" style="6" customWidth="1"/>
    <col min="15102" max="15102" width="10.85546875" style="6" customWidth="1"/>
    <col min="15103" max="15103" width="1" style="6" customWidth="1"/>
    <col min="15104" max="15104" width="53.5703125" style="6" customWidth="1"/>
    <col min="15105" max="15106" width="22.85546875" style="6" customWidth="1"/>
    <col min="15107" max="15107" width="8.7109375" style="6" customWidth="1"/>
    <col min="15108" max="15108" width="14.140625" style="6" customWidth="1"/>
    <col min="15109" max="15353" width="9.140625" style="6"/>
    <col min="15354" max="15354" width="2.140625" style="6" customWidth="1"/>
    <col min="15355" max="15355" width="8.7109375" style="6" customWidth="1"/>
    <col min="15356" max="15356" width="9.85546875" style="6" customWidth="1"/>
    <col min="15357" max="15357" width="1" style="6" customWidth="1"/>
    <col min="15358" max="15358" width="10.85546875" style="6" customWidth="1"/>
    <col min="15359" max="15359" width="1" style="6" customWidth="1"/>
    <col min="15360" max="15360" width="53.5703125" style="6" customWidth="1"/>
    <col min="15361" max="15362" width="22.85546875" style="6" customWidth="1"/>
    <col min="15363" max="15363" width="8.7109375" style="6" customWidth="1"/>
    <col min="15364" max="15364" width="14.140625" style="6" customWidth="1"/>
    <col min="15365" max="15609" width="9.140625" style="6"/>
    <col min="15610" max="15610" width="2.140625" style="6" customWidth="1"/>
    <col min="15611" max="15611" width="8.7109375" style="6" customWidth="1"/>
    <col min="15612" max="15612" width="9.85546875" style="6" customWidth="1"/>
    <col min="15613" max="15613" width="1" style="6" customWidth="1"/>
    <col min="15614" max="15614" width="10.85546875" style="6" customWidth="1"/>
    <col min="15615" max="15615" width="1" style="6" customWidth="1"/>
    <col min="15616" max="15616" width="53.5703125" style="6" customWidth="1"/>
    <col min="15617" max="15618" width="22.85546875" style="6" customWidth="1"/>
    <col min="15619" max="15619" width="8.7109375" style="6" customWidth="1"/>
    <col min="15620" max="15620" width="14.140625" style="6" customWidth="1"/>
    <col min="15621" max="15865" width="9.140625" style="6"/>
    <col min="15866" max="15866" width="2.140625" style="6" customWidth="1"/>
    <col min="15867" max="15867" width="8.7109375" style="6" customWidth="1"/>
    <col min="15868" max="15868" width="9.85546875" style="6" customWidth="1"/>
    <col min="15869" max="15869" width="1" style="6" customWidth="1"/>
    <col min="15870" max="15870" width="10.85546875" style="6" customWidth="1"/>
    <col min="15871" max="15871" width="1" style="6" customWidth="1"/>
    <col min="15872" max="15872" width="53.5703125" style="6" customWidth="1"/>
    <col min="15873" max="15874" width="22.85546875" style="6" customWidth="1"/>
    <col min="15875" max="15875" width="8.7109375" style="6" customWidth="1"/>
    <col min="15876" max="15876" width="14.140625" style="6" customWidth="1"/>
    <col min="15877" max="16121" width="9.140625" style="6"/>
    <col min="16122" max="16122" width="2.140625" style="6" customWidth="1"/>
    <col min="16123" max="16123" width="8.7109375" style="6" customWidth="1"/>
    <col min="16124" max="16124" width="9.85546875" style="6" customWidth="1"/>
    <col min="16125" max="16125" width="1" style="6" customWidth="1"/>
    <col min="16126" max="16126" width="10.85546875" style="6" customWidth="1"/>
    <col min="16127" max="16127" width="1" style="6" customWidth="1"/>
    <col min="16128" max="16128" width="53.5703125" style="6" customWidth="1"/>
    <col min="16129" max="16130" width="22.85546875" style="6" customWidth="1"/>
    <col min="16131" max="16131" width="8.7109375" style="6" customWidth="1"/>
    <col min="16132" max="16132" width="14.140625" style="6" customWidth="1"/>
    <col min="16133" max="16384" width="9.140625" style="6"/>
  </cols>
  <sheetData>
    <row r="1" spans="1:12" ht="22.5" customHeight="1" x14ac:dyDescent="0.2">
      <c r="A1" s="1843"/>
      <c r="B1" s="1843"/>
      <c r="C1" s="1843"/>
      <c r="D1" s="1843"/>
      <c r="E1" s="1843"/>
      <c r="F1" s="1843"/>
      <c r="G1" s="1843"/>
      <c r="H1" s="1339" t="s">
        <v>1541</v>
      </c>
    </row>
    <row r="2" spans="1:12" ht="55.5" customHeight="1" x14ac:dyDescent="0.2">
      <c r="A2" s="1845" t="s">
        <v>1524</v>
      </c>
      <c r="B2" s="1845"/>
      <c r="C2" s="1845"/>
      <c r="D2" s="1845"/>
      <c r="E2" s="1845"/>
      <c r="F2" s="1845"/>
      <c r="G2" s="1845"/>
      <c r="H2" s="1845"/>
      <c r="I2" s="1845"/>
      <c r="J2" s="1845"/>
      <c r="K2" s="1338"/>
      <c r="L2" s="1338"/>
    </row>
    <row r="3" spans="1:12" ht="45" x14ac:dyDescent="0.2">
      <c r="A3" s="7" t="s">
        <v>0</v>
      </c>
      <c r="B3" s="7" t="s">
        <v>1</v>
      </c>
      <c r="C3" s="7" t="s">
        <v>2</v>
      </c>
      <c r="D3" s="7" t="s">
        <v>3</v>
      </c>
      <c r="E3" s="1335" t="s">
        <v>1486</v>
      </c>
      <c r="F3" s="1336" t="s">
        <v>4</v>
      </c>
      <c r="G3" s="1349" t="s">
        <v>1485</v>
      </c>
      <c r="H3" s="1350" t="s">
        <v>1456</v>
      </c>
      <c r="I3" s="1347" t="s">
        <v>1457</v>
      </c>
      <c r="J3" s="1337" t="s">
        <v>1487</v>
      </c>
    </row>
    <row r="4" spans="1:12" x14ac:dyDescent="0.2">
      <c r="A4" s="1640" t="s">
        <v>5</v>
      </c>
      <c r="B4" s="1640"/>
      <c r="C4" s="1640"/>
      <c r="D4" s="1641" t="s">
        <v>6</v>
      </c>
      <c r="E4" s="1642">
        <f>E5</f>
        <v>0</v>
      </c>
      <c r="F4" s="1643">
        <f t="shared" ref="F4:H4" si="0">F5</f>
        <v>9237.49</v>
      </c>
      <c r="G4" s="1644">
        <f t="shared" si="0"/>
        <v>9237.49</v>
      </c>
      <c r="H4" s="1644">
        <f t="shared" si="0"/>
        <v>9237.49</v>
      </c>
      <c r="I4" s="1646">
        <f>H4/G4</f>
        <v>1</v>
      </c>
      <c r="J4" s="1642">
        <f>J5</f>
        <v>0</v>
      </c>
    </row>
    <row r="5" spans="1:12" ht="15" x14ac:dyDescent="0.2">
      <c r="A5" s="8"/>
      <c r="B5" s="1632" t="s">
        <v>13</v>
      </c>
      <c r="C5" s="1633"/>
      <c r="D5" s="1634" t="s">
        <v>14</v>
      </c>
      <c r="E5" s="1635">
        <f>E6+E7+E8</f>
        <v>0</v>
      </c>
      <c r="F5" s="1636">
        <f t="shared" ref="F5:H5" si="1">F6+F7+F8</f>
        <v>9237.49</v>
      </c>
      <c r="G5" s="1637">
        <f t="shared" si="1"/>
        <v>9237.49</v>
      </c>
      <c r="H5" s="1637">
        <f t="shared" si="1"/>
        <v>9237.49</v>
      </c>
      <c r="I5" s="1639">
        <f t="shared" ref="I5:I15" si="2">H5/G5</f>
        <v>1</v>
      </c>
      <c r="J5" s="1635">
        <f>J6+J7+J8</f>
        <v>0</v>
      </c>
    </row>
    <row r="6" spans="1:12" x14ac:dyDescent="0.2">
      <c r="A6" s="9"/>
      <c r="B6" s="9"/>
      <c r="C6" s="10" t="s">
        <v>342</v>
      </c>
      <c r="D6" s="11" t="s">
        <v>343</v>
      </c>
      <c r="E6" s="1345">
        <v>0</v>
      </c>
      <c r="F6" s="1343">
        <f>G6-E6</f>
        <v>7723.36</v>
      </c>
      <c r="G6" s="1351" t="s">
        <v>344</v>
      </c>
      <c r="H6" s="1352">
        <v>7723.36</v>
      </c>
      <c r="I6" s="1348">
        <f t="shared" si="2"/>
        <v>1</v>
      </c>
      <c r="J6" s="1344">
        <v>0</v>
      </c>
    </row>
    <row r="7" spans="1:12" x14ac:dyDescent="0.2">
      <c r="A7" s="9"/>
      <c r="B7" s="9"/>
      <c r="C7" s="10" t="s">
        <v>345</v>
      </c>
      <c r="D7" s="11" t="s">
        <v>346</v>
      </c>
      <c r="E7" s="1345">
        <v>0</v>
      </c>
      <c r="F7" s="1343">
        <f t="shared" ref="F7:F8" si="3">G7-E7</f>
        <v>1327.65</v>
      </c>
      <c r="G7" s="1351" t="s">
        <v>347</v>
      </c>
      <c r="H7" s="1352">
        <v>1327.65</v>
      </c>
      <c r="I7" s="1348">
        <f t="shared" si="2"/>
        <v>1</v>
      </c>
      <c r="J7" s="1344">
        <v>0</v>
      </c>
    </row>
    <row r="8" spans="1:12" x14ac:dyDescent="0.2">
      <c r="A8" s="9"/>
      <c r="B8" s="9"/>
      <c r="C8" s="10" t="s">
        <v>348</v>
      </c>
      <c r="D8" s="11" t="s">
        <v>349</v>
      </c>
      <c r="E8" s="1345">
        <v>0</v>
      </c>
      <c r="F8" s="1343">
        <f t="shared" si="3"/>
        <v>186.48</v>
      </c>
      <c r="G8" s="1351" t="s">
        <v>350</v>
      </c>
      <c r="H8" s="1352">
        <v>186.48</v>
      </c>
      <c r="I8" s="1348">
        <f t="shared" si="2"/>
        <v>1</v>
      </c>
      <c r="J8" s="1344">
        <v>0</v>
      </c>
    </row>
    <row r="9" spans="1:12" x14ac:dyDescent="0.2">
      <c r="A9" s="1640" t="s">
        <v>21</v>
      </c>
      <c r="B9" s="1640"/>
      <c r="C9" s="1640"/>
      <c r="D9" s="1641" t="s">
        <v>22</v>
      </c>
      <c r="E9" s="1642">
        <f>E10</f>
        <v>3520</v>
      </c>
      <c r="F9" s="1643">
        <f t="shared" ref="F9:J9" si="4">F10</f>
        <v>1465</v>
      </c>
      <c r="G9" s="1644">
        <f t="shared" si="4"/>
        <v>4985</v>
      </c>
      <c r="H9" s="1644">
        <f t="shared" si="4"/>
        <v>4980.58</v>
      </c>
      <c r="I9" s="1645">
        <f t="shared" si="2"/>
        <v>0.99911334002006014</v>
      </c>
      <c r="J9" s="1642">
        <f t="shared" si="4"/>
        <v>0</v>
      </c>
    </row>
    <row r="10" spans="1:12" ht="15" x14ac:dyDescent="0.2">
      <c r="A10" s="8"/>
      <c r="B10" s="1632" t="s">
        <v>24</v>
      </c>
      <c r="C10" s="1633"/>
      <c r="D10" s="1634" t="s">
        <v>14</v>
      </c>
      <c r="E10" s="1635">
        <f>E11+E12</f>
        <v>3520</v>
      </c>
      <c r="F10" s="1636">
        <f t="shared" ref="F10:H10" si="5">F11+F12</f>
        <v>1465</v>
      </c>
      <c r="G10" s="1637">
        <f t="shared" si="5"/>
        <v>4985</v>
      </c>
      <c r="H10" s="1637">
        <f t="shared" si="5"/>
        <v>4980.58</v>
      </c>
      <c r="I10" s="1639">
        <f t="shared" si="2"/>
        <v>0.99911334002006014</v>
      </c>
      <c r="J10" s="1635">
        <f>J12+J11</f>
        <v>0</v>
      </c>
    </row>
    <row r="11" spans="1:12" x14ac:dyDescent="0.2">
      <c r="A11" s="9"/>
      <c r="B11" s="9"/>
      <c r="C11" s="10" t="s">
        <v>345</v>
      </c>
      <c r="D11" s="11" t="s">
        <v>346</v>
      </c>
      <c r="E11" s="1345">
        <v>520</v>
      </c>
      <c r="F11" s="1343">
        <f>G11-E11</f>
        <v>215</v>
      </c>
      <c r="G11" s="1351" t="s">
        <v>362</v>
      </c>
      <c r="H11" s="1352">
        <v>730.58</v>
      </c>
      <c r="I11" s="1348">
        <f t="shared" si="2"/>
        <v>0.99398639455782323</v>
      </c>
      <c r="J11" s="1344">
        <v>0</v>
      </c>
    </row>
    <row r="12" spans="1:12" x14ac:dyDescent="0.2">
      <c r="A12" s="9"/>
      <c r="B12" s="9"/>
      <c r="C12" s="10" t="s">
        <v>363</v>
      </c>
      <c r="D12" s="11" t="s">
        <v>364</v>
      </c>
      <c r="E12" s="1345">
        <v>3000</v>
      </c>
      <c r="F12" s="1343">
        <f t="shared" ref="F12" si="6">G12-E12</f>
        <v>1250</v>
      </c>
      <c r="G12" s="1351" t="s">
        <v>365</v>
      </c>
      <c r="H12" s="1352">
        <v>4250</v>
      </c>
      <c r="I12" s="1348">
        <f t="shared" si="2"/>
        <v>1</v>
      </c>
      <c r="J12" s="1344">
        <v>0</v>
      </c>
    </row>
    <row r="13" spans="1:12" x14ac:dyDescent="0.2">
      <c r="A13" s="1640" t="s">
        <v>62</v>
      </c>
      <c r="B13" s="1640"/>
      <c r="C13" s="1640"/>
      <c r="D13" s="1641" t="s">
        <v>63</v>
      </c>
      <c r="E13" s="1642">
        <f>E14</f>
        <v>25000</v>
      </c>
      <c r="F13" s="1643">
        <f t="shared" ref="F13:H13" si="7">F14</f>
        <v>0</v>
      </c>
      <c r="G13" s="1644" t="str">
        <f t="shared" si="7"/>
        <v>25 000,00</v>
      </c>
      <c r="H13" s="1644">
        <f t="shared" si="7"/>
        <v>3826</v>
      </c>
      <c r="I13" s="1645">
        <f t="shared" si="2"/>
        <v>0.15304000000000001</v>
      </c>
      <c r="J13" s="1642">
        <f>J14</f>
        <v>0</v>
      </c>
    </row>
    <row r="14" spans="1:12" ht="15" x14ac:dyDescent="0.2">
      <c r="A14" s="8"/>
      <c r="B14" s="1632" t="s">
        <v>424</v>
      </c>
      <c r="C14" s="1633"/>
      <c r="D14" s="1634" t="s">
        <v>425</v>
      </c>
      <c r="E14" s="1635">
        <f>E15</f>
        <v>25000</v>
      </c>
      <c r="F14" s="1636">
        <f t="shared" ref="F14:H14" si="8">F15</f>
        <v>0</v>
      </c>
      <c r="G14" s="1637" t="str">
        <f t="shared" si="8"/>
        <v>25 000,00</v>
      </c>
      <c r="H14" s="1637">
        <f t="shared" si="8"/>
        <v>3826</v>
      </c>
      <c r="I14" s="1639">
        <f t="shared" si="2"/>
        <v>0.15304000000000001</v>
      </c>
      <c r="J14" s="1635">
        <f>J15</f>
        <v>0</v>
      </c>
    </row>
    <row r="15" spans="1:12" x14ac:dyDescent="0.2">
      <c r="A15" s="9"/>
      <c r="B15" s="9"/>
      <c r="C15" s="10" t="s">
        <v>363</v>
      </c>
      <c r="D15" s="11" t="s">
        <v>364</v>
      </c>
      <c r="E15" s="1345">
        <v>25000</v>
      </c>
      <c r="F15" s="1343">
        <f>G15-E15</f>
        <v>0</v>
      </c>
      <c r="G15" s="1351" t="s">
        <v>23</v>
      </c>
      <c r="H15" s="1352">
        <v>3826</v>
      </c>
      <c r="I15" s="1348">
        <f t="shared" si="2"/>
        <v>0.15304000000000001</v>
      </c>
      <c r="J15" s="1344">
        <v>0</v>
      </c>
    </row>
    <row r="16" spans="1:12" x14ac:dyDescent="0.2">
      <c r="A16" s="1640" t="s">
        <v>69</v>
      </c>
      <c r="B16" s="1640"/>
      <c r="C16" s="1640"/>
      <c r="D16" s="1641" t="s">
        <v>70</v>
      </c>
      <c r="E16" s="1642">
        <f>E17+E21+E33+E35+E41</f>
        <v>4010085.2300000004</v>
      </c>
      <c r="F16" s="1643">
        <f t="shared" ref="F16:H16" si="9">F17+F21+F33+F35+F41</f>
        <v>7035.8200000000288</v>
      </c>
      <c r="G16" s="1644">
        <f t="shared" si="9"/>
        <v>4017121.0500000007</v>
      </c>
      <c r="H16" s="1644">
        <f t="shared" si="9"/>
        <v>3818143.6200000006</v>
      </c>
      <c r="I16" s="1645">
        <f t="shared" ref="I16:I40" si="10">H16/G16</f>
        <v>0.95046765394336319</v>
      </c>
      <c r="J16" s="1642">
        <f>J17+J21+J33+J35+J41</f>
        <v>297757.88</v>
      </c>
    </row>
    <row r="17" spans="1:10" ht="15" x14ac:dyDescent="0.2">
      <c r="A17" s="8"/>
      <c r="B17" s="1632" t="s">
        <v>71</v>
      </c>
      <c r="C17" s="1633"/>
      <c r="D17" s="1634" t="s">
        <v>72</v>
      </c>
      <c r="E17" s="1635">
        <f>E18+E19+E20</f>
        <v>138027</v>
      </c>
      <c r="F17" s="1636">
        <f t="shared" ref="F17:H17" si="11">F18+F19+F20</f>
        <v>53881.999999999993</v>
      </c>
      <c r="G17" s="1637">
        <f t="shared" si="11"/>
        <v>191909</v>
      </c>
      <c r="H17" s="1637">
        <f t="shared" si="11"/>
        <v>191909</v>
      </c>
      <c r="I17" s="1639">
        <f t="shared" si="10"/>
        <v>1</v>
      </c>
      <c r="J17" s="1635">
        <f>J18+J19+J20</f>
        <v>0</v>
      </c>
    </row>
    <row r="18" spans="1:10" x14ac:dyDescent="0.2">
      <c r="A18" s="9"/>
      <c r="B18" s="9"/>
      <c r="C18" s="10" t="s">
        <v>342</v>
      </c>
      <c r="D18" s="11" t="s">
        <v>343</v>
      </c>
      <c r="E18" s="1345">
        <v>115368.6</v>
      </c>
      <c r="F18" s="1343">
        <f>G18-E18</f>
        <v>45610.149999999994</v>
      </c>
      <c r="G18" s="1351" t="s">
        <v>429</v>
      </c>
      <c r="H18" s="1352">
        <v>160978.75</v>
      </c>
      <c r="I18" s="1348">
        <f t="shared" si="10"/>
        <v>1</v>
      </c>
      <c r="J18" s="1344">
        <v>0</v>
      </c>
    </row>
    <row r="19" spans="1:10" x14ac:dyDescent="0.2">
      <c r="A19" s="9"/>
      <c r="B19" s="9"/>
      <c r="C19" s="10" t="s">
        <v>345</v>
      </c>
      <c r="D19" s="11" t="s">
        <v>346</v>
      </c>
      <c r="E19" s="1345">
        <v>19831.87</v>
      </c>
      <c r="F19" s="1343">
        <f t="shared" ref="F19:F20" si="12">G19-E19</f>
        <v>7840.3899999999994</v>
      </c>
      <c r="G19" s="1351" t="s">
        <v>430</v>
      </c>
      <c r="H19" s="1352">
        <v>27672.26</v>
      </c>
      <c r="I19" s="1348">
        <f t="shared" si="10"/>
        <v>1</v>
      </c>
      <c r="J19" s="1344">
        <v>0</v>
      </c>
    </row>
    <row r="20" spans="1:10" x14ac:dyDescent="0.2">
      <c r="A20" s="9"/>
      <c r="B20" s="9"/>
      <c r="C20" s="10" t="s">
        <v>348</v>
      </c>
      <c r="D20" s="11" t="s">
        <v>349</v>
      </c>
      <c r="E20" s="1345">
        <v>2826.53</v>
      </c>
      <c r="F20" s="1343">
        <f t="shared" si="12"/>
        <v>431.45999999999958</v>
      </c>
      <c r="G20" s="1351" t="s">
        <v>431</v>
      </c>
      <c r="H20" s="1352">
        <v>3257.99</v>
      </c>
      <c r="I20" s="1348">
        <f t="shared" si="10"/>
        <v>1</v>
      </c>
      <c r="J20" s="1344">
        <v>0</v>
      </c>
    </row>
    <row r="21" spans="1:10" ht="15" x14ac:dyDescent="0.2">
      <c r="A21" s="8"/>
      <c r="B21" s="1632" t="s">
        <v>74</v>
      </c>
      <c r="C21" s="1633"/>
      <c r="D21" s="1634" t="s">
        <v>75</v>
      </c>
      <c r="E21" s="1635">
        <f>E22+E23+E24+E25+E26+E27+E28+E29+E30+E31+E32</f>
        <v>3158033.2300000004</v>
      </c>
      <c r="F21" s="1636">
        <f t="shared" ref="F21:H21" si="13">F22+F23+F24+F25+F26+F27+F28+F29+F30+F31+F32</f>
        <v>-75066.179999999964</v>
      </c>
      <c r="G21" s="1637">
        <f t="shared" si="13"/>
        <v>3082967.0500000007</v>
      </c>
      <c r="H21" s="1637">
        <f t="shared" si="13"/>
        <v>2892299.4400000004</v>
      </c>
      <c r="I21" s="1639">
        <f t="shared" si="10"/>
        <v>0.93815450930622168</v>
      </c>
      <c r="J21" s="1635">
        <f>J22+J23+J24+J25+J26+J27+J28+J29+J30+J31+J32</f>
        <v>227275.55</v>
      </c>
    </row>
    <row r="22" spans="1:10" x14ac:dyDescent="0.2">
      <c r="A22" s="9"/>
      <c r="B22" s="9"/>
      <c r="C22" s="10" t="s">
        <v>342</v>
      </c>
      <c r="D22" s="11" t="s">
        <v>343</v>
      </c>
      <c r="E22" s="1345">
        <v>2431927.69</v>
      </c>
      <c r="F22" s="1343">
        <f t="shared" ref="F22:F32" si="14">G22-E22</f>
        <v>-52004</v>
      </c>
      <c r="G22" s="1351" t="s">
        <v>448</v>
      </c>
      <c r="H22" s="1352">
        <v>2256337.94</v>
      </c>
      <c r="I22" s="1348">
        <f t="shared" si="10"/>
        <v>0.94807154930249049</v>
      </c>
      <c r="J22" s="1344">
        <v>0</v>
      </c>
    </row>
    <row r="23" spans="1:10" x14ac:dyDescent="0.2">
      <c r="A23" s="9"/>
      <c r="B23" s="9"/>
      <c r="C23" s="10" t="s">
        <v>449</v>
      </c>
      <c r="D23" s="11" t="s">
        <v>343</v>
      </c>
      <c r="E23" s="1345">
        <v>6666.07</v>
      </c>
      <c r="F23" s="1343">
        <f t="shared" si="14"/>
        <v>0</v>
      </c>
      <c r="G23" s="1351" t="s">
        <v>450</v>
      </c>
      <c r="H23" s="1352">
        <v>6666.07</v>
      </c>
      <c r="I23" s="1348">
        <f t="shared" si="10"/>
        <v>1</v>
      </c>
      <c r="J23" s="1344">
        <v>0</v>
      </c>
    </row>
    <row r="24" spans="1:10" x14ac:dyDescent="0.2">
      <c r="A24" s="9"/>
      <c r="B24" s="9"/>
      <c r="C24" s="10" t="s">
        <v>451</v>
      </c>
      <c r="D24" s="11" t="s">
        <v>343</v>
      </c>
      <c r="E24" s="1345">
        <v>2047.72</v>
      </c>
      <c r="F24" s="1343">
        <f t="shared" si="14"/>
        <v>0</v>
      </c>
      <c r="G24" s="1351" t="s">
        <v>452</v>
      </c>
      <c r="H24" s="1352">
        <v>2047.72</v>
      </c>
      <c r="I24" s="1348">
        <f t="shared" si="10"/>
        <v>1</v>
      </c>
      <c r="J24" s="1344">
        <v>0</v>
      </c>
    </row>
    <row r="25" spans="1:10" x14ac:dyDescent="0.2">
      <c r="A25" s="9"/>
      <c r="B25" s="9"/>
      <c r="C25" s="10" t="s">
        <v>453</v>
      </c>
      <c r="D25" s="11" t="s">
        <v>454</v>
      </c>
      <c r="E25" s="1345">
        <v>194474.16</v>
      </c>
      <c r="F25" s="1343">
        <f t="shared" si="14"/>
        <v>0</v>
      </c>
      <c r="G25" s="1351" t="s">
        <v>455</v>
      </c>
      <c r="H25" s="1352">
        <v>174785.7</v>
      </c>
      <c r="I25" s="1348">
        <f t="shared" si="10"/>
        <v>0.89876053456150684</v>
      </c>
      <c r="J25" s="1344">
        <v>191375.74</v>
      </c>
    </row>
    <row r="26" spans="1:10" x14ac:dyDescent="0.2">
      <c r="A26" s="9"/>
      <c r="B26" s="9"/>
      <c r="C26" s="10" t="s">
        <v>345</v>
      </c>
      <c r="D26" s="11" t="s">
        <v>346</v>
      </c>
      <c r="E26" s="1345">
        <v>444168.73</v>
      </c>
      <c r="F26" s="1343">
        <f t="shared" si="14"/>
        <v>-24518.219999999972</v>
      </c>
      <c r="G26" s="1351" t="s">
        <v>456</v>
      </c>
      <c r="H26" s="1352">
        <v>393952.71</v>
      </c>
      <c r="I26" s="1348">
        <f t="shared" si="10"/>
        <v>0.93876380610141519</v>
      </c>
      <c r="J26" s="1344">
        <v>32897.57</v>
      </c>
    </row>
    <row r="27" spans="1:10" x14ac:dyDescent="0.2">
      <c r="A27" s="9"/>
      <c r="B27" s="9"/>
      <c r="C27" s="10" t="s">
        <v>457</v>
      </c>
      <c r="D27" s="11" t="s">
        <v>346</v>
      </c>
      <c r="E27" s="1345">
        <v>1145.8900000000001</v>
      </c>
      <c r="F27" s="1343">
        <f t="shared" si="14"/>
        <v>0</v>
      </c>
      <c r="G27" s="1351" t="s">
        <v>458</v>
      </c>
      <c r="H27" s="1352">
        <v>1145.8900000000001</v>
      </c>
      <c r="I27" s="1348">
        <f t="shared" si="10"/>
        <v>1</v>
      </c>
      <c r="J27" s="1344">
        <v>0</v>
      </c>
    </row>
    <row r="28" spans="1:10" x14ac:dyDescent="0.2">
      <c r="A28" s="9"/>
      <c r="B28" s="9"/>
      <c r="C28" s="10" t="s">
        <v>459</v>
      </c>
      <c r="D28" s="11" t="s">
        <v>346</v>
      </c>
      <c r="E28" s="1345">
        <v>352.02</v>
      </c>
      <c r="F28" s="1343">
        <f t="shared" si="14"/>
        <v>0</v>
      </c>
      <c r="G28" s="1351" t="s">
        <v>460</v>
      </c>
      <c r="H28" s="1352">
        <v>352.02</v>
      </c>
      <c r="I28" s="1348">
        <f t="shared" si="10"/>
        <v>1</v>
      </c>
      <c r="J28" s="1344">
        <v>0</v>
      </c>
    </row>
    <row r="29" spans="1:10" x14ac:dyDescent="0.2">
      <c r="A29" s="9"/>
      <c r="B29" s="9"/>
      <c r="C29" s="10" t="s">
        <v>348</v>
      </c>
      <c r="D29" s="11" t="s">
        <v>349</v>
      </c>
      <c r="E29" s="1345">
        <v>52037.45</v>
      </c>
      <c r="F29" s="1343">
        <f t="shared" si="14"/>
        <v>-643.95999999999913</v>
      </c>
      <c r="G29" s="1351" t="s">
        <v>461</v>
      </c>
      <c r="H29" s="1352">
        <v>36600</v>
      </c>
      <c r="I29" s="1348">
        <f t="shared" si="10"/>
        <v>0.71215245355005086</v>
      </c>
      <c r="J29" s="1344">
        <v>3002.24</v>
      </c>
    </row>
    <row r="30" spans="1:10" x14ac:dyDescent="0.2">
      <c r="A30" s="9"/>
      <c r="B30" s="9"/>
      <c r="C30" s="10" t="s">
        <v>462</v>
      </c>
      <c r="D30" s="11" t="s">
        <v>349</v>
      </c>
      <c r="E30" s="1345">
        <v>163.33000000000001</v>
      </c>
      <c r="F30" s="1343">
        <f t="shared" si="14"/>
        <v>0</v>
      </c>
      <c r="G30" s="1351" t="s">
        <v>463</v>
      </c>
      <c r="H30" s="1352">
        <v>163.33000000000001</v>
      </c>
      <c r="I30" s="1348">
        <f t="shared" si="10"/>
        <v>1</v>
      </c>
      <c r="J30" s="1344">
        <v>0</v>
      </c>
    </row>
    <row r="31" spans="1:10" x14ac:dyDescent="0.2">
      <c r="A31" s="9"/>
      <c r="B31" s="9"/>
      <c r="C31" s="10" t="s">
        <v>464</v>
      </c>
      <c r="D31" s="11" t="s">
        <v>349</v>
      </c>
      <c r="E31" s="1345">
        <v>50.17</v>
      </c>
      <c r="F31" s="1343">
        <f t="shared" si="14"/>
        <v>0</v>
      </c>
      <c r="G31" s="1351" t="s">
        <v>465</v>
      </c>
      <c r="H31" s="1352">
        <v>50.17</v>
      </c>
      <c r="I31" s="1348">
        <f t="shared" si="10"/>
        <v>1</v>
      </c>
      <c r="J31" s="1344">
        <v>0</v>
      </c>
    </row>
    <row r="32" spans="1:10" x14ac:dyDescent="0.2">
      <c r="A32" s="9"/>
      <c r="B32" s="9"/>
      <c r="C32" s="10" t="s">
        <v>363</v>
      </c>
      <c r="D32" s="11" t="s">
        <v>364</v>
      </c>
      <c r="E32" s="1345">
        <v>25000</v>
      </c>
      <c r="F32" s="1343">
        <f t="shared" si="14"/>
        <v>2100</v>
      </c>
      <c r="G32" s="1351" t="s">
        <v>469</v>
      </c>
      <c r="H32" s="1352">
        <v>20197.89</v>
      </c>
      <c r="I32" s="1348">
        <f t="shared" si="10"/>
        <v>0.74530959409594089</v>
      </c>
      <c r="J32" s="1344">
        <v>0</v>
      </c>
    </row>
    <row r="33" spans="1:10" ht="15" x14ac:dyDescent="0.2">
      <c r="A33" s="8"/>
      <c r="B33" s="1632" t="s">
        <v>496</v>
      </c>
      <c r="C33" s="1633"/>
      <c r="D33" s="1634" t="s">
        <v>497</v>
      </c>
      <c r="E33" s="1635">
        <f>E34</f>
        <v>4500</v>
      </c>
      <c r="F33" s="1636">
        <f t="shared" ref="F33:H33" si="15">F34</f>
        <v>0</v>
      </c>
      <c r="G33" s="1637" t="str">
        <f t="shared" si="15"/>
        <v>4 500,00</v>
      </c>
      <c r="H33" s="1637">
        <f t="shared" si="15"/>
        <v>910</v>
      </c>
      <c r="I33" s="1639">
        <f t="shared" si="10"/>
        <v>0.20222222222222222</v>
      </c>
      <c r="J33" s="1635">
        <f>J34</f>
        <v>0</v>
      </c>
    </row>
    <row r="34" spans="1:10" x14ac:dyDescent="0.2">
      <c r="A34" s="9"/>
      <c r="B34" s="9"/>
      <c r="C34" s="10" t="s">
        <v>363</v>
      </c>
      <c r="D34" s="11" t="s">
        <v>364</v>
      </c>
      <c r="E34" s="1345">
        <v>4500</v>
      </c>
      <c r="F34" s="1343">
        <f>G34-E34</f>
        <v>0</v>
      </c>
      <c r="G34" s="1351" t="s">
        <v>203</v>
      </c>
      <c r="H34" s="1352">
        <v>910</v>
      </c>
      <c r="I34" s="1348">
        <f t="shared" si="10"/>
        <v>0.20222222222222222</v>
      </c>
      <c r="J34" s="1344">
        <v>0</v>
      </c>
    </row>
    <row r="35" spans="1:10" ht="22.5" x14ac:dyDescent="0.2">
      <c r="A35" s="8"/>
      <c r="B35" s="1632" t="s">
        <v>83</v>
      </c>
      <c r="C35" s="1633"/>
      <c r="D35" s="1634" t="s">
        <v>84</v>
      </c>
      <c r="E35" s="1635">
        <f>E36+E37+E38+E39+E40</f>
        <v>703525</v>
      </c>
      <c r="F35" s="1636">
        <f t="shared" ref="F35:H35" si="16">F36+F37+F38+F39+F40</f>
        <v>28220</v>
      </c>
      <c r="G35" s="1637">
        <f t="shared" si="16"/>
        <v>731745</v>
      </c>
      <c r="H35" s="1637">
        <f t="shared" si="16"/>
        <v>731228.18</v>
      </c>
      <c r="I35" s="1639">
        <f t="shared" si="10"/>
        <v>0.99929371570697445</v>
      </c>
      <c r="J35" s="1635">
        <f>J36+J37+J38+J39+J40</f>
        <v>70389.33</v>
      </c>
    </row>
    <row r="36" spans="1:10" x14ac:dyDescent="0.2">
      <c r="A36" s="9"/>
      <c r="B36" s="9"/>
      <c r="C36" s="10" t="s">
        <v>342</v>
      </c>
      <c r="D36" s="11" t="s">
        <v>343</v>
      </c>
      <c r="E36" s="1345">
        <v>551413</v>
      </c>
      <c r="F36" s="1343">
        <f t="shared" ref="F36:F40" si="17">G36-E36</f>
        <v>39776</v>
      </c>
      <c r="G36" s="1351" t="s">
        <v>501</v>
      </c>
      <c r="H36" s="1352">
        <v>591189</v>
      </c>
      <c r="I36" s="1348">
        <f t="shared" si="10"/>
        <v>1</v>
      </c>
      <c r="J36" s="1344">
        <v>12770.81</v>
      </c>
    </row>
    <row r="37" spans="1:10" x14ac:dyDescent="0.2">
      <c r="A37" s="9"/>
      <c r="B37" s="9"/>
      <c r="C37" s="10" t="s">
        <v>453</v>
      </c>
      <c r="D37" s="11" t="s">
        <v>454</v>
      </c>
      <c r="E37" s="1345">
        <v>39335</v>
      </c>
      <c r="F37" s="1343">
        <f t="shared" si="17"/>
        <v>-8176</v>
      </c>
      <c r="G37" s="1351" t="s">
        <v>502</v>
      </c>
      <c r="H37" s="1352">
        <v>31158.18</v>
      </c>
      <c r="I37" s="1348">
        <f t="shared" si="10"/>
        <v>0.99997368336596171</v>
      </c>
      <c r="J37" s="1344">
        <v>42486.92</v>
      </c>
    </row>
    <row r="38" spans="1:10" x14ac:dyDescent="0.2">
      <c r="A38" s="9"/>
      <c r="B38" s="9"/>
      <c r="C38" s="10" t="s">
        <v>345</v>
      </c>
      <c r="D38" s="11" t="s">
        <v>346</v>
      </c>
      <c r="E38" s="1345">
        <v>98644</v>
      </c>
      <c r="F38" s="1343">
        <f t="shared" si="17"/>
        <v>105</v>
      </c>
      <c r="G38" s="1351" t="s">
        <v>503</v>
      </c>
      <c r="H38" s="1352">
        <v>98749</v>
      </c>
      <c r="I38" s="1348">
        <f t="shared" si="10"/>
        <v>1</v>
      </c>
      <c r="J38" s="1344">
        <v>13853.96</v>
      </c>
    </row>
    <row r="39" spans="1:10" x14ac:dyDescent="0.2">
      <c r="A39" s="9"/>
      <c r="B39" s="9"/>
      <c r="C39" s="10" t="s">
        <v>348</v>
      </c>
      <c r="D39" s="11" t="s">
        <v>349</v>
      </c>
      <c r="E39" s="1345">
        <v>14133</v>
      </c>
      <c r="F39" s="1343">
        <f t="shared" si="17"/>
        <v>-5485</v>
      </c>
      <c r="G39" s="1351" t="s">
        <v>504</v>
      </c>
      <c r="H39" s="1352">
        <v>8648</v>
      </c>
      <c r="I39" s="1348">
        <f t="shared" si="10"/>
        <v>1</v>
      </c>
      <c r="J39" s="1344">
        <v>1261.6400000000001</v>
      </c>
    </row>
    <row r="40" spans="1:10" x14ac:dyDescent="0.2">
      <c r="A40" s="9"/>
      <c r="B40" s="9"/>
      <c r="C40" s="10" t="s">
        <v>363</v>
      </c>
      <c r="D40" s="11" t="s">
        <v>364</v>
      </c>
      <c r="E40" s="1345">
        <v>0</v>
      </c>
      <c r="F40" s="1343">
        <f t="shared" si="17"/>
        <v>2000</v>
      </c>
      <c r="G40" s="1351" t="s">
        <v>126</v>
      </c>
      <c r="H40" s="1352">
        <v>1484</v>
      </c>
      <c r="I40" s="1348">
        <f t="shared" si="10"/>
        <v>0.74199999999999999</v>
      </c>
      <c r="J40" s="1344">
        <v>16</v>
      </c>
    </row>
    <row r="41" spans="1:10" ht="15" x14ac:dyDescent="0.2">
      <c r="A41" s="8"/>
      <c r="B41" s="1632" t="s">
        <v>513</v>
      </c>
      <c r="C41" s="1633"/>
      <c r="D41" s="1634" t="s">
        <v>14</v>
      </c>
      <c r="E41" s="1635">
        <f>E42</f>
        <v>6000</v>
      </c>
      <c r="F41" s="1636">
        <f t="shared" ref="F41:H41" si="18">F42</f>
        <v>0</v>
      </c>
      <c r="G41" s="1637" t="str">
        <f t="shared" si="18"/>
        <v>6 000,00</v>
      </c>
      <c r="H41" s="1637">
        <f t="shared" si="18"/>
        <v>1797</v>
      </c>
      <c r="I41" s="1639">
        <f t="shared" ref="I41:I59" si="19">H41/G41</f>
        <v>0.29949999999999999</v>
      </c>
      <c r="J41" s="1635">
        <f>J42</f>
        <v>93</v>
      </c>
    </row>
    <row r="42" spans="1:10" x14ac:dyDescent="0.2">
      <c r="A42" s="9"/>
      <c r="B42" s="9"/>
      <c r="C42" s="10" t="s">
        <v>515</v>
      </c>
      <c r="D42" s="11" t="s">
        <v>516</v>
      </c>
      <c r="E42" s="1345">
        <v>6000</v>
      </c>
      <c r="F42" s="1343">
        <f t="shared" ref="F42" si="20">G42-E42</f>
        <v>0</v>
      </c>
      <c r="G42" s="1351" t="s">
        <v>47</v>
      </c>
      <c r="H42" s="1352">
        <v>1797</v>
      </c>
      <c r="I42" s="1348">
        <f t="shared" si="19"/>
        <v>0.29949999999999999</v>
      </c>
      <c r="J42" s="1344">
        <v>93</v>
      </c>
    </row>
    <row r="43" spans="1:10" ht="33.75" x14ac:dyDescent="0.2">
      <c r="A43" s="1640" t="s">
        <v>88</v>
      </c>
      <c r="B43" s="1640"/>
      <c r="C43" s="1640"/>
      <c r="D43" s="1641" t="s">
        <v>89</v>
      </c>
      <c r="E43" s="1642">
        <f>E44</f>
        <v>3491</v>
      </c>
      <c r="F43" s="1643">
        <f t="shared" ref="F43:J43" si="21">F44</f>
        <v>0</v>
      </c>
      <c r="G43" s="1644">
        <f t="shared" si="21"/>
        <v>3491</v>
      </c>
      <c r="H43" s="1644">
        <f t="shared" si="21"/>
        <v>3491</v>
      </c>
      <c r="I43" s="1645">
        <f t="shared" si="19"/>
        <v>1</v>
      </c>
      <c r="J43" s="1642">
        <f t="shared" si="21"/>
        <v>0</v>
      </c>
    </row>
    <row r="44" spans="1:10" ht="22.5" x14ac:dyDescent="0.2">
      <c r="A44" s="8"/>
      <c r="B44" s="1632" t="s">
        <v>91</v>
      </c>
      <c r="C44" s="1633"/>
      <c r="D44" s="1634" t="s">
        <v>92</v>
      </c>
      <c r="E44" s="1635">
        <f>E45+E46+E47</f>
        <v>3491</v>
      </c>
      <c r="F44" s="1636">
        <f t="shared" ref="F44:J44" si="22">F45+F46+F47</f>
        <v>0</v>
      </c>
      <c r="G44" s="1637">
        <f t="shared" si="22"/>
        <v>3491</v>
      </c>
      <c r="H44" s="1637">
        <f t="shared" si="22"/>
        <v>3491</v>
      </c>
      <c r="I44" s="1639">
        <f t="shared" si="19"/>
        <v>1</v>
      </c>
      <c r="J44" s="1635">
        <f t="shared" si="22"/>
        <v>0</v>
      </c>
    </row>
    <row r="45" spans="1:10" x14ac:dyDescent="0.2">
      <c r="A45" s="9"/>
      <c r="B45" s="9"/>
      <c r="C45" s="10" t="s">
        <v>342</v>
      </c>
      <c r="D45" s="11" t="s">
        <v>343</v>
      </c>
      <c r="E45" s="1345">
        <v>2917.92</v>
      </c>
      <c r="F45" s="1343">
        <f>G45-E45</f>
        <v>29.789999999999964</v>
      </c>
      <c r="G45" s="1351" t="s">
        <v>518</v>
      </c>
      <c r="H45" s="1352">
        <v>2947.71</v>
      </c>
      <c r="I45" s="1348">
        <f t="shared" si="19"/>
        <v>1</v>
      </c>
      <c r="J45" s="1344">
        <v>0</v>
      </c>
    </row>
    <row r="46" spans="1:10" x14ac:dyDescent="0.2">
      <c r="A46" s="9"/>
      <c r="B46" s="9"/>
      <c r="C46" s="10" t="s">
        <v>345</v>
      </c>
      <c r="D46" s="11" t="s">
        <v>346</v>
      </c>
      <c r="E46" s="1345">
        <v>501.59</v>
      </c>
      <c r="F46" s="1343">
        <f t="shared" ref="F46:F47" si="23">G46-E46</f>
        <v>5.1200000000000045</v>
      </c>
      <c r="G46" s="1351" t="s">
        <v>519</v>
      </c>
      <c r="H46" s="1352">
        <v>506.71</v>
      </c>
      <c r="I46" s="1348">
        <f t="shared" si="19"/>
        <v>1</v>
      </c>
      <c r="J46" s="1344">
        <v>0</v>
      </c>
    </row>
    <row r="47" spans="1:10" x14ac:dyDescent="0.2">
      <c r="A47" s="9"/>
      <c r="B47" s="9"/>
      <c r="C47" s="10" t="s">
        <v>348</v>
      </c>
      <c r="D47" s="11" t="s">
        <v>349</v>
      </c>
      <c r="E47" s="1345">
        <v>71.489999999999995</v>
      </c>
      <c r="F47" s="1343">
        <f t="shared" si="23"/>
        <v>-34.909999999999997</v>
      </c>
      <c r="G47" s="1351" t="s">
        <v>520</v>
      </c>
      <c r="H47" s="1352">
        <v>36.58</v>
      </c>
      <c r="I47" s="1348">
        <f t="shared" si="19"/>
        <v>1</v>
      </c>
      <c r="J47" s="1344">
        <v>0</v>
      </c>
    </row>
    <row r="48" spans="1:10" ht="22.5" x14ac:dyDescent="0.2">
      <c r="A48" s="1640" t="s">
        <v>93</v>
      </c>
      <c r="B48" s="1640"/>
      <c r="C48" s="1640"/>
      <c r="D48" s="1641" t="s">
        <v>94</v>
      </c>
      <c r="E48" s="1642">
        <f>E49</f>
        <v>47032.88</v>
      </c>
      <c r="F48" s="1643">
        <f t="shared" ref="F48:H48" si="24">F49</f>
        <v>2713.440000000001</v>
      </c>
      <c r="G48" s="1644">
        <f t="shared" si="24"/>
        <v>49746.32</v>
      </c>
      <c r="H48" s="1644">
        <f t="shared" si="24"/>
        <v>45336.21</v>
      </c>
      <c r="I48" s="1645">
        <f t="shared" si="19"/>
        <v>0.91134801529037723</v>
      </c>
      <c r="J48" s="1642">
        <f>J49</f>
        <v>0</v>
      </c>
    </row>
    <row r="49" spans="1:10" ht="15" x14ac:dyDescent="0.2">
      <c r="A49" s="8"/>
      <c r="B49" s="1632" t="s">
        <v>96</v>
      </c>
      <c r="C49" s="1633"/>
      <c r="D49" s="1634" t="s">
        <v>97</v>
      </c>
      <c r="E49" s="1635">
        <f>E50+E51+E52</f>
        <v>47032.88</v>
      </c>
      <c r="F49" s="1636">
        <f t="shared" ref="F49:H49" si="25">F50+F51+F52</f>
        <v>2713.440000000001</v>
      </c>
      <c r="G49" s="1637">
        <f t="shared" si="25"/>
        <v>49746.32</v>
      </c>
      <c r="H49" s="1637">
        <f t="shared" si="25"/>
        <v>45336.21</v>
      </c>
      <c r="I49" s="1639">
        <f t="shared" si="19"/>
        <v>0.91134801529037723</v>
      </c>
      <c r="J49" s="1635">
        <f>J50+J51+J52</f>
        <v>0</v>
      </c>
    </row>
    <row r="50" spans="1:10" x14ac:dyDescent="0.2">
      <c r="A50" s="9"/>
      <c r="B50" s="9"/>
      <c r="C50" s="10" t="s">
        <v>345</v>
      </c>
      <c r="D50" s="11" t="s">
        <v>346</v>
      </c>
      <c r="E50" s="1345">
        <v>6757.73</v>
      </c>
      <c r="F50" s="1343">
        <f t="shared" ref="F50:F52" si="26">G50-E50</f>
        <v>389.8700000000008</v>
      </c>
      <c r="G50" s="1351" t="s">
        <v>530</v>
      </c>
      <c r="H50" s="1352">
        <v>6524.88</v>
      </c>
      <c r="I50" s="1348">
        <f t="shared" si="19"/>
        <v>0.91287704963903959</v>
      </c>
      <c r="J50" s="1344">
        <v>0</v>
      </c>
    </row>
    <row r="51" spans="1:10" x14ac:dyDescent="0.2">
      <c r="A51" s="9"/>
      <c r="B51" s="9"/>
      <c r="C51" s="10" t="s">
        <v>348</v>
      </c>
      <c r="D51" s="11" t="s">
        <v>349</v>
      </c>
      <c r="E51" s="1345">
        <v>963.15</v>
      </c>
      <c r="F51" s="1343">
        <f t="shared" si="26"/>
        <v>55.57000000000005</v>
      </c>
      <c r="G51" s="1351" t="s">
        <v>531</v>
      </c>
      <c r="H51" s="1352">
        <v>855.33</v>
      </c>
      <c r="I51" s="1348">
        <f t="shared" si="19"/>
        <v>0.83961245484529612</v>
      </c>
      <c r="J51" s="1344">
        <v>0</v>
      </c>
    </row>
    <row r="52" spans="1:10" x14ac:dyDescent="0.2">
      <c r="A52" s="9"/>
      <c r="B52" s="9"/>
      <c r="C52" s="10" t="s">
        <v>363</v>
      </c>
      <c r="D52" s="11" t="s">
        <v>364</v>
      </c>
      <c r="E52" s="1345">
        <v>39312</v>
      </c>
      <c r="F52" s="1343">
        <f t="shared" si="26"/>
        <v>2268</v>
      </c>
      <c r="G52" s="1351" t="s">
        <v>532</v>
      </c>
      <c r="H52" s="1352">
        <v>37956</v>
      </c>
      <c r="I52" s="1348">
        <f t="shared" si="19"/>
        <v>0.91284271284271279</v>
      </c>
      <c r="J52" s="1344">
        <v>0</v>
      </c>
    </row>
    <row r="53" spans="1:10" x14ac:dyDescent="0.2">
      <c r="A53" s="1640" t="s">
        <v>184</v>
      </c>
      <c r="B53" s="1640"/>
      <c r="C53" s="1640"/>
      <c r="D53" s="1641" t="s">
        <v>185</v>
      </c>
      <c r="E53" s="1642">
        <f>E54+E60+E66+E72+E78+E80+E86+E91+E96</f>
        <v>15161665</v>
      </c>
      <c r="F53" s="1643">
        <f t="shared" ref="F53:H53" si="27">F54+F60+F66+F72+F78+F80+F86+F91+F96</f>
        <v>466632.93999999994</v>
      </c>
      <c r="G53" s="1644">
        <f t="shared" si="27"/>
        <v>15628297.939999998</v>
      </c>
      <c r="H53" s="1644">
        <f t="shared" si="27"/>
        <v>15528206.570000002</v>
      </c>
      <c r="I53" s="1645">
        <f t="shared" si="19"/>
        <v>0.99359550410516451</v>
      </c>
      <c r="J53" s="1642">
        <f>J54+J60+J66+J72+J78+J80+J86+J91+J96</f>
        <v>1612875.2700000003</v>
      </c>
    </row>
    <row r="54" spans="1:10" ht="15" x14ac:dyDescent="0.2">
      <c r="A54" s="8"/>
      <c r="B54" s="1632" t="s">
        <v>186</v>
      </c>
      <c r="C54" s="1633"/>
      <c r="D54" s="1634" t="s">
        <v>187</v>
      </c>
      <c r="E54" s="1635">
        <f>E55+E56+E57+E58+E59</f>
        <v>8595771</v>
      </c>
      <c r="F54" s="1636">
        <f t="shared" ref="F54:H54" si="28">F55+F56+F57+F58+F59</f>
        <v>423845</v>
      </c>
      <c r="G54" s="1637">
        <f t="shared" si="28"/>
        <v>9019616</v>
      </c>
      <c r="H54" s="1637">
        <f t="shared" si="28"/>
        <v>9006445.8600000013</v>
      </c>
      <c r="I54" s="1639">
        <f t="shared" si="19"/>
        <v>0.99853983362484622</v>
      </c>
      <c r="J54" s="1635">
        <f>J55+J56+J57+J58+J59</f>
        <v>924530.77</v>
      </c>
    </row>
    <row r="55" spans="1:10" x14ac:dyDescent="0.2">
      <c r="A55" s="9"/>
      <c r="B55" s="9"/>
      <c r="C55" s="10" t="s">
        <v>342</v>
      </c>
      <c r="D55" s="11" t="s">
        <v>343</v>
      </c>
      <c r="E55" s="1345">
        <v>6583993</v>
      </c>
      <c r="F55" s="1343">
        <f t="shared" ref="F55:F59" si="29">G55-E55</f>
        <v>483380</v>
      </c>
      <c r="G55" s="1351" t="s">
        <v>567</v>
      </c>
      <c r="H55" s="1352">
        <v>7064151.9900000002</v>
      </c>
      <c r="I55" s="1348">
        <f t="shared" si="19"/>
        <v>0.99954424225239002</v>
      </c>
      <c r="J55" s="1344">
        <v>154205.53</v>
      </c>
    </row>
    <row r="56" spans="1:10" x14ac:dyDescent="0.2">
      <c r="A56" s="9"/>
      <c r="B56" s="9"/>
      <c r="C56" s="10" t="s">
        <v>453</v>
      </c>
      <c r="D56" s="11" t="s">
        <v>454</v>
      </c>
      <c r="E56" s="1345">
        <v>530638</v>
      </c>
      <c r="F56" s="1343">
        <f t="shared" si="29"/>
        <v>-10968</v>
      </c>
      <c r="G56" s="1351" t="s">
        <v>568</v>
      </c>
      <c r="H56" s="1352">
        <v>519668.74</v>
      </c>
      <c r="I56" s="1348">
        <f t="shared" si="19"/>
        <v>0.9999975753843785</v>
      </c>
      <c r="J56" s="1344">
        <v>551450.75</v>
      </c>
    </row>
    <row r="57" spans="1:10" x14ac:dyDescent="0.2">
      <c r="A57" s="9"/>
      <c r="B57" s="9"/>
      <c r="C57" s="10" t="s">
        <v>345</v>
      </c>
      <c r="D57" s="11" t="s">
        <v>346</v>
      </c>
      <c r="E57" s="1345">
        <v>1262653</v>
      </c>
      <c r="F57" s="1343">
        <f t="shared" si="29"/>
        <v>-27111</v>
      </c>
      <c r="G57" s="1351" t="s">
        <v>569</v>
      </c>
      <c r="H57" s="1352">
        <v>1235542</v>
      </c>
      <c r="I57" s="1348">
        <f t="shared" si="19"/>
        <v>1</v>
      </c>
      <c r="J57" s="1344">
        <v>195993.3</v>
      </c>
    </row>
    <row r="58" spans="1:10" x14ac:dyDescent="0.2">
      <c r="A58" s="9"/>
      <c r="B58" s="9"/>
      <c r="C58" s="10" t="s">
        <v>348</v>
      </c>
      <c r="D58" s="11" t="s">
        <v>349</v>
      </c>
      <c r="E58" s="1345">
        <v>179629</v>
      </c>
      <c r="F58" s="1343">
        <f t="shared" si="29"/>
        <v>-22112</v>
      </c>
      <c r="G58" s="1351" t="s">
        <v>570</v>
      </c>
      <c r="H58" s="1352">
        <v>152354.22</v>
      </c>
      <c r="I58" s="1348">
        <f t="shared" si="19"/>
        <v>0.9672239821733527</v>
      </c>
      <c r="J58" s="1344">
        <v>22881.19</v>
      </c>
    </row>
    <row r="59" spans="1:10" x14ac:dyDescent="0.2">
      <c r="A59" s="9"/>
      <c r="B59" s="9"/>
      <c r="C59" s="10" t="s">
        <v>363</v>
      </c>
      <c r="D59" s="11" t="s">
        <v>364</v>
      </c>
      <c r="E59" s="1345">
        <v>38858</v>
      </c>
      <c r="F59" s="1343">
        <f t="shared" si="29"/>
        <v>656</v>
      </c>
      <c r="G59" s="1351" t="s">
        <v>571</v>
      </c>
      <c r="H59" s="1352">
        <v>34728.910000000003</v>
      </c>
      <c r="I59" s="1348">
        <f t="shared" si="19"/>
        <v>0.878901402034722</v>
      </c>
      <c r="J59" s="1344">
        <v>0</v>
      </c>
    </row>
    <row r="60" spans="1:10" ht="22.5" x14ac:dyDescent="0.2">
      <c r="A60" s="8"/>
      <c r="B60" s="1632" t="s">
        <v>191</v>
      </c>
      <c r="C60" s="1633"/>
      <c r="D60" s="1634" t="s">
        <v>192</v>
      </c>
      <c r="E60" s="1635">
        <f>E61+E62+E63+E64+E65</f>
        <v>640647</v>
      </c>
      <c r="F60" s="1636">
        <f t="shared" ref="F60:H60" si="30">F61+F62+F63+F64+F65</f>
        <v>9476</v>
      </c>
      <c r="G60" s="1637">
        <f t="shared" si="30"/>
        <v>650123</v>
      </c>
      <c r="H60" s="1637">
        <f t="shared" si="30"/>
        <v>647814.96000000008</v>
      </c>
      <c r="I60" s="1639">
        <f t="shared" ref="I60:I77" si="31">H60/G60</f>
        <v>0.99644984103008216</v>
      </c>
      <c r="J60" s="1635">
        <f>J61+J62+J63+J64+J65</f>
        <v>61988.69</v>
      </c>
    </row>
    <row r="61" spans="1:10" x14ac:dyDescent="0.2">
      <c r="A61" s="9"/>
      <c r="B61" s="9"/>
      <c r="C61" s="10" t="s">
        <v>342</v>
      </c>
      <c r="D61" s="11" t="s">
        <v>343</v>
      </c>
      <c r="E61" s="1345">
        <v>490037</v>
      </c>
      <c r="F61" s="1343">
        <f t="shared" ref="F61:F65" si="32">G61-E61</f>
        <v>17465</v>
      </c>
      <c r="G61" s="1351" t="s">
        <v>590</v>
      </c>
      <c r="H61" s="1352">
        <v>505495.2</v>
      </c>
      <c r="I61" s="1348">
        <f t="shared" si="31"/>
        <v>0.99604572986904483</v>
      </c>
      <c r="J61" s="1344">
        <v>12194.91</v>
      </c>
    </row>
    <row r="62" spans="1:10" x14ac:dyDescent="0.2">
      <c r="A62" s="9"/>
      <c r="B62" s="9"/>
      <c r="C62" s="10" t="s">
        <v>453</v>
      </c>
      <c r="D62" s="11" t="s">
        <v>454</v>
      </c>
      <c r="E62" s="1345">
        <v>41341</v>
      </c>
      <c r="F62" s="1343">
        <f t="shared" si="32"/>
        <v>-5439</v>
      </c>
      <c r="G62" s="1351" t="s">
        <v>591</v>
      </c>
      <c r="H62" s="1352">
        <v>35900.82</v>
      </c>
      <c r="I62" s="1348">
        <f t="shared" si="31"/>
        <v>0.99996713275026461</v>
      </c>
      <c r="J62" s="1344">
        <v>34452.480000000003</v>
      </c>
    </row>
    <row r="63" spans="1:10" x14ac:dyDescent="0.2">
      <c r="A63" s="9"/>
      <c r="B63" s="9"/>
      <c r="C63" s="10" t="s">
        <v>345</v>
      </c>
      <c r="D63" s="11" t="s">
        <v>346</v>
      </c>
      <c r="E63" s="1345">
        <v>95670</v>
      </c>
      <c r="F63" s="1343">
        <f t="shared" si="32"/>
        <v>-3024</v>
      </c>
      <c r="G63" s="1351" t="s">
        <v>592</v>
      </c>
      <c r="H63" s="1352">
        <v>92423.16</v>
      </c>
      <c r="I63" s="1348">
        <f t="shared" si="31"/>
        <v>0.99759471536817568</v>
      </c>
      <c r="J63" s="1344">
        <v>13974.52</v>
      </c>
    </row>
    <row r="64" spans="1:10" x14ac:dyDescent="0.2">
      <c r="A64" s="9"/>
      <c r="B64" s="9"/>
      <c r="C64" s="10" t="s">
        <v>348</v>
      </c>
      <c r="D64" s="11" t="s">
        <v>349</v>
      </c>
      <c r="E64" s="1345">
        <v>13599</v>
      </c>
      <c r="F64" s="1343">
        <f t="shared" si="32"/>
        <v>-2526</v>
      </c>
      <c r="G64" s="1351" t="s">
        <v>593</v>
      </c>
      <c r="H64" s="1352">
        <v>10995.78</v>
      </c>
      <c r="I64" s="1348">
        <f t="shared" si="31"/>
        <v>0.99302628014088334</v>
      </c>
      <c r="J64" s="1344">
        <v>1366.78</v>
      </c>
    </row>
    <row r="65" spans="1:10" x14ac:dyDescent="0.2">
      <c r="A65" s="9"/>
      <c r="B65" s="9"/>
      <c r="C65" s="10" t="s">
        <v>363</v>
      </c>
      <c r="D65" s="11" t="s">
        <v>364</v>
      </c>
      <c r="E65" s="1345">
        <v>0</v>
      </c>
      <c r="F65" s="1343">
        <f t="shared" si="32"/>
        <v>3000</v>
      </c>
      <c r="G65" s="1351" t="s">
        <v>528</v>
      </c>
      <c r="H65" s="1352">
        <v>3000</v>
      </c>
      <c r="I65" s="1348">
        <f t="shared" si="31"/>
        <v>1</v>
      </c>
      <c r="J65" s="1344">
        <v>0</v>
      </c>
    </row>
    <row r="66" spans="1:10" ht="15" x14ac:dyDescent="0.2">
      <c r="A66" s="8"/>
      <c r="B66" s="1632" t="s">
        <v>194</v>
      </c>
      <c r="C66" s="1633"/>
      <c r="D66" s="1634" t="s">
        <v>195</v>
      </c>
      <c r="E66" s="1635">
        <f>E67+E68+E69+E70+E71</f>
        <v>2524433</v>
      </c>
      <c r="F66" s="1636">
        <f t="shared" ref="F66:H66" si="33">F67+F68+F69+F70+F71</f>
        <v>315725.87999999989</v>
      </c>
      <c r="G66" s="1637">
        <f t="shared" si="33"/>
        <v>2840158.88</v>
      </c>
      <c r="H66" s="1637">
        <f t="shared" si="33"/>
        <v>2835722.76</v>
      </c>
      <c r="I66" s="1639">
        <f t="shared" si="31"/>
        <v>0.99843807329539247</v>
      </c>
      <c r="J66" s="1635">
        <f>J67+J68+J69+J70+J71</f>
        <v>306943.41000000003</v>
      </c>
    </row>
    <row r="67" spans="1:10" x14ac:dyDescent="0.2">
      <c r="A67" s="9"/>
      <c r="B67" s="9"/>
      <c r="C67" s="10" t="s">
        <v>342</v>
      </c>
      <c r="D67" s="11" t="s">
        <v>343</v>
      </c>
      <c r="E67" s="1345">
        <v>1954985</v>
      </c>
      <c r="F67" s="1343">
        <f t="shared" ref="F67:F71" si="34">G67-E67</f>
        <v>299588.87999999989</v>
      </c>
      <c r="G67" s="1351" t="s">
        <v>603</v>
      </c>
      <c r="H67" s="1352">
        <v>2252815.85</v>
      </c>
      <c r="I67" s="1348">
        <f t="shared" si="31"/>
        <v>0.99922023846031616</v>
      </c>
      <c r="J67" s="1344">
        <v>47825.62</v>
      </c>
    </row>
    <row r="68" spans="1:10" x14ac:dyDescent="0.2">
      <c r="A68" s="9"/>
      <c r="B68" s="9"/>
      <c r="C68" s="10" t="s">
        <v>453</v>
      </c>
      <c r="D68" s="11" t="s">
        <v>454</v>
      </c>
      <c r="E68" s="1345">
        <v>154831</v>
      </c>
      <c r="F68" s="1343">
        <f t="shared" si="34"/>
        <v>-16733</v>
      </c>
      <c r="G68" s="1351" t="s">
        <v>604</v>
      </c>
      <c r="H68" s="1352">
        <v>138097.79999999999</v>
      </c>
      <c r="I68" s="1348">
        <f t="shared" si="31"/>
        <v>0.99999855175310282</v>
      </c>
      <c r="J68" s="1344">
        <v>185882.15</v>
      </c>
    </row>
    <row r="69" spans="1:10" x14ac:dyDescent="0.2">
      <c r="A69" s="9"/>
      <c r="B69" s="9"/>
      <c r="C69" s="10" t="s">
        <v>345</v>
      </c>
      <c r="D69" s="11" t="s">
        <v>346</v>
      </c>
      <c r="E69" s="1345">
        <v>358373</v>
      </c>
      <c r="F69" s="1343">
        <f t="shared" si="34"/>
        <v>36466</v>
      </c>
      <c r="G69" s="1351" t="s">
        <v>605</v>
      </c>
      <c r="H69" s="1352">
        <v>393760.29</v>
      </c>
      <c r="I69" s="1348">
        <f t="shared" si="31"/>
        <v>0.99726797504805753</v>
      </c>
      <c r="J69" s="1344">
        <v>64661.17</v>
      </c>
    </row>
    <row r="70" spans="1:10" x14ac:dyDescent="0.2">
      <c r="A70" s="9"/>
      <c r="B70" s="9"/>
      <c r="C70" s="10" t="s">
        <v>348</v>
      </c>
      <c r="D70" s="11" t="s">
        <v>349</v>
      </c>
      <c r="E70" s="1345">
        <v>51244</v>
      </c>
      <c r="F70" s="1343">
        <f t="shared" si="34"/>
        <v>-3596</v>
      </c>
      <c r="G70" s="1351" t="s">
        <v>606</v>
      </c>
      <c r="H70" s="1352">
        <v>47478.34</v>
      </c>
      <c r="I70" s="1348">
        <f t="shared" si="31"/>
        <v>0.99643930490261912</v>
      </c>
      <c r="J70" s="1344">
        <v>8144.95</v>
      </c>
    </row>
    <row r="71" spans="1:10" x14ac:dyDescent="0.2">
      <c r="A71" s="9"/>
      <c r="B71" s="9"/>
      <c r="C71" s="10" t="s">
        <v>363</v>
      </c>
      <c r="D71" s="11" t="s">
        <v>364</v>
      </c>
      <c r="E71" s="1345">
        <v>5000</v>
      </c>
      <c r="F71" s="1343">
        <f t="shared" si="34"/>
        <v>0</v>
      </c>
      <c r="G71" s="1351" t="s">
        <v>588</v>
      </c>
      <c r="H71" s="1352">
        <v>3570.48</v>
      </c>
      <c r="I71" s="1348">
        <f t="shared" si="31"/>
        <v>0.71409599999999995</v>
      </c>
      <c r="J71" s="1344">
        <v>429.52</v>
      </c>
    </row>
    <row r="72" spans="1:10" ht="15" x14ac:dyDescent="0.2">
      <c r="A72" s="8"/>
      <c r="B72" s="1632" t="s">
        <v>208</v>
      </c>
      <c r="C72" s="1633"/>
      <c r="D72" s="1634" t="s">
        <v>209</v>
      </c>
      <c r="E72" s="1635">
        <f>E73+E74+E75+E76+E77</f>
        <v>2085297</v>
      </c>
      <c r="F72" s="1636">
        <f t="shared" ref="F72:H72" si="35">F73+F74+F75+F76+F77</f>
        <v>-112090.93</v>
      </c>
      <c r="G72" s="1637">
        <f t="shared" si="35"/>
        <v>1973206.07</v>
      </c>
      <c r="H72" s="1637">
        <f t="shared" si="35"/>
        <v>1960605.3700000003</v>
      </c>
      <c r="I72" s="1639">
        <f t="shared" si="31"/>
        <v>0.99361409829841052</v>
      </c>
      <c r="J72" s="1635">
        <f>J73+J74+J76+J75+J77</f>
        <v>256004.24000000002</v>
      </c>
    </row>
    <row r="73" spans="1:10" x14ac:dyDescent="0.2">
      <c r="A73" s="9"/>
      <c r="B73" s="9"/>
      <c r="C73" s="10" t="s">
        <v>342</v>
      </c>
      <c r="D73" s="11" t="s">
        <v>343</v>
      </c>
      <c r="E73" s="1345">
        <v>1604605</v>
      </c>
      <c r="F73" s="1343">
        <f t="shared" ref="F73:F77" si="36">G73-E73</f>
        <v>-78093</v>
      </c>
      <c r="G73" s="1351" t="s">
        <v>633</v>
      </c>
      <c r="H73" s="1352">
        <v>1515630.87</v>
      </c>
      <c r="I73" s="1348">
        <f t="shared" si="31"/>
        <v>0.9928719001226326</v>
      </c>
      <c r="J73" s="1344">
        <v>25751.17</v>
      </c>
    </row>
    <row r="74" spans="1:10" x14ac:dyDescent="0.2">
      <c r="A74" s="9"/>
      <c r="B74" s="9"/>
      <c r="C74" s="10" t="s">
        <v>453</v>
      </c>
      <c r="D74" s="11" t="s">
        <v>454</v>
      </c>
      <c r="E74" s="1345">
        <v>130189</v>
      </c>
      <c r="F74" s="1343">
        <f t="shared" si="36"/>
        <v>-5981.7200000000012</v>
      </c>
      <c r="G74" s="1351" t="s">
        <v>634</v>
      </c>
      <c r="H74" s="1352">
        <v>124205.32</v>
      </c>
      <c r="I74" s="1348">
        <f t="shared" si="31"/>
        <v>0.9999842199265615</v>
      </c>
      <c r="J74" s="1344">
        <v>180282.67</v>
      </c>
    </row>
    <row r="75" spans="1:10" x14ac:dyDescent="0.2">
      <c r="A75" s="9"/>
      <c r="B75" s="9"/>
      <c r="C75" s="10" t="s">
        <v>345</v>
      </c>
      <c r="D75" s="11" t="s">
        <v>346</v>
      </c>
      <c r="E75" s="1345">
        <v>302791</v>
      </c>
      <c r="F75" s="1343">
        <f t="shared" si="36"/>
        <v>-21110</v>
      </c>
      <c r="G75" s="1351" t="s">
        <v>635</v>
      </c>
      <c r="H75" s="1352">
        <v>280607.82</v>
      </c>
      <c r="I75" s="1348">
        <f t="shared" si="31"/>
        <v>0.99619008736833514</v>
      </c>
      <c r="J75" s="1344">
        <v>44561.9</v>
      </c>
    </row>
    <row r="76" spans="1:10" x14ac:dyDescent="0.2">
      <c r="A76" s="9"/>
      <c r="B76" s="9"/>
      <c r="C76" s="10" t="s">
        <v>348</v>
      </c>
      <c r="D76" s="11" t="s">
        <v>349</v>
      </c>
      <c r="E76" s="1345">
        <v>43212</v>
      </c>
      <c r="F76" s="1343">
        <f t="shared" si="36"/>
        <v>-6714.2099999999991</v>
      </c>
      <c r="G76" s="1351" t="s">
        <v>636</v>
      </c>
      <c r="H76" s="1352">
        <v>36123.360000000001</v>
      </c>
      <c r="I76" s="1348">
        <f t="shared" si="31"/>
        <v>0.98974102267561948</v>
      </c>
      <c r="J76" s="1344">
        <v>5408.5</v>
      </c>
    </row>
    <row r="77" spans="1:10" x14ac:dyDescent="0.2">
      <c r="A77" s="9"/>
      <c r="B77" s="9"/>
      <c r="C77" s="10" t="s">
        <v>363</v>
      </c>
      <c r="D77" s="11" t="s">
        <v>364</v>
      </c>
      <c r="E77" s="1345">
        <v>4500</v>
      </c>
      <c r="F77" s="1343">
        <f t="shared" si="36"/>
        <v>-192</v>
      </c>
      <c r="G77" s="1351" t="s">
        <v>637</v>
      </c>
      <c r="H77" s="1352">
        <v>4038</v>
      </c>
      <c r="I77" s="1348">
        <f t="shared" si="31"/>
        <v>0.93732590529247906</v>
      </c>
      <c r="J77" s="1344">
        <v>0</v>
      </c>
    </row>
    <row r="78" spans="1:10" ht="15" x14ac:dyDescent="0.2">
      <c r="A78" s="8"/>
      <c r="B78" s="1632" t="s">
        <v>645</v>
      </c>
      <c r="C78" s="1633"/>
      <c r="D78" s="1634" t="s">
        <v>646</v>
      </c>
      <c r="E78" s="1635">
        <f>E79</f>
        <v>1000</v>
      </c>
      <c r="F78" s="1636">
        <f t="shared" ref="F78:H78" si="37">F79</f>
        <v>-1000</v>
      </c>
      <c r="G78" s="1637" t="str">
        <f t="shared" si="37"/>
        <v>0,00</v>
      </c>
      <c r="H78" s="1637">
        <f t="shared" si="37"/>
        <v>0</v>
      </c>
      <c r="I78" s="1639">
        <v>0</v>
      </c>
      <c r="J78" s="1635">
        <f>J79</f>
        <v>0</v>
      </c>
    </row>
    <row r="79" spans="1:10" x14ac:dyDescent="0.2">
      <c r="A79" s="9"/>
      <c r="B79" s="9"/>
      <c r="C79" s="10" t="s">
        <v>363</v>
      </c>
      <c r="D79" s="11" t="s">
        <v>364</v>
      </c>
      <c r="E79" s="1345">
        <v>1000</v>
      </c>
      <c r="F79" s="1343">
        <f>G79-E79</f>
        <v>-1000</v>
      </c>
      <c r="G79" s="1351" t="s">
        <v>7</v>
      </c>
      <c r="H79" s="1352">
        <v>0</v>
      </c>
      <c r="I79" s="1348">
        <v>0</v>
      </c>
      <c r="J79" s="1344">
        <v>0</v>
      </c>
    </row>
    <row r="80" spans="1:10" ht="15" x14ac:dyDescent="0.2">
      <c r="A80" s="8"/>
      <c r="B80" s="1632" t="s">
        <v>212</v>
      </c>
      <c r="C80" s="1633"/>
      <c r="D80" s="1634" t="s">
        <v>213</v>
      </c>
      <c r="E80" s="1635">
        <f>E81+E82+E83+E84+E85</f>
        <v>319866</v>
      </c>
      <c r="F80" s="1636">
        <f t="shared" ref="F80:H80" si="38">F81+F82+F83+F84+F85</f>
        <v>1049.869999999999</v>
      </c>
      <c r="G80" s="1637">
        <f t="shared" si="38"/>
        <v>320915.87</v>
      </c>
      <c r="H80" s="1637">
        <f t="shared" si="38"/>
        <v>318596.71000000002</v>
      </c>
      <c r="I80" s="1639">
        <f t="shared" ref="I80:I99" si="39">H80/G80</f>
        <v>0.99277330846866507</v>
      </c>
      <c r="J80" s="1635">
        <f>J81+J82+J83+J84+J85</f>
        <v>30321.219999999998</v>
      </c>
    </row>
    <row r="81" spans="1:10" x14ac:dyDescent="0.2">
      <c r="A81" s="9"/>
      <c r="B81" s="9"/>
      <c r="C81" s="10" t="s">
        <v>342</v>
      </c>
      <c r="D81" s="11" t="s">
        <v>343</v>
      </c>
      <c r="E81" s="1345">
        <v>246127</v>
      </c>
      <c r="F81" s="1343">
        <f>G81-E81</f>
        <v>6674</v>
      </c>
      <c r="G81" s="1351" t="s">
        <v>652</v>
      </c>
      <c r="H81" s="1352">
        <v>250824.48</v>
      </c>
      <c r="I81" s="1348">
        <f t="shared" si="39"/>
        <v>0.99218151826931067</v>
      </c>
      <c r="J81" s="1344">
        <v>4369.6499999999996</v>
      </c>
    </row>
    <row r="82" spans="1:10" x14ac:dyDescent="0.2">
      <c r="A82" s="9"/>
      <c r="B82" s="9"/>
      <c r="C82" s="10" t="s">
        <v>453</v>
      </c>
      <c r="D82" s="11" t="s">
        <v>454</v>
      </c>
      <c r="E82" s="1345">
        <v>19221</v>
      </c>
      <c r="F82" s="1343">
        <f t="shared" ref="F82:F85" si="40">G82-E82</f>
        <v>-1850.130000000001</v>
      </c>
      <c r="G82" s="1351" t="s">
        <v>653</v>
      </c>
      <c r="H82" s="1352">
        <v>17370.09</v>
      </c>
      <c r="I82" s="1348">
        <f t="shared" si="39"/>
        <v>0.99995509724038012</v>
      </c>
      <c r="J82" s="1344">
        <v>19045.669999999998</v>
      </c>
    </row>
    <row r="83" spans="1:10" x14ac:dyDescent="0.2">
      <c r="A83" s="9"/>
      <c r="B83" s="9"/>
      <c r="C83" s="10" t="s">
        <v>345</v>
      </c>
      <c r="D83" s="11" t="s">
        <v>346</v>
      </c>
      <c r="E83" s="1345">
        <v>45092</v>
      </c>
      <c r="F83" s="1343">
        <f t="shared" si="40"/>
        <v>-818</v>
      </c>
      <c r="G83" s="1351" t="s">
        <v>654</v>
      </c>
      <c r="H83" s="1352">
        <v>44010.99</v>
      </c>
      <c r="I83" s="1348">
        <f t="shared" si="39"/>
        <v>0.99405949315625419</v>
      </c>
      <c r="J83" s="1344">
        <v>6500.85</v>
      </c>
    </row>
    <row r="84" spans="1:10" x14ac:dyDescent="0.2">
      <c r="A84" s="9"/>
      <c r="B84" s="9"/>
      <c r="C84" s="10" t="s">
        <v>348</v>
      </c>
      <c r="D84" s="11" t="s">
        <v>349</v>
      </c>
      <c r="E84" s="1345">
        <v>6426</v>
      </c>
      <c r="F84" s="1343">
        <f t="shared" si="40"/>
        <v>-2956</v>
      </c>
      <c r="G84" s="1351" t="s">
        <v>655</v>
      </c>
      <c r="H84" s="1352">
        <v>3391.15</v>
      </c>
      <c r="I84" s="1348">
        <f t="shared" si="39"/>
        <v>0.97727665706051881</v>
      </c>
      <c r="J84" s="1344">
        <v>405.05</v>
      </c>
    </row>
    <row r="85" spans="1:10" x14ac:dyDescent="0.2">
      <c r="A85" s="9"/>
      <c r="B85" s="9"/>
      <c r="C85" s="10" t="s">
        <v>363</v>
      </c>
      <c r="D85" s="11" t="s">
        <v>364</v>
      </c>
      <c r="E85" s="1345">
        <v>3000</v>
      </c>
      <c r="F85" s="1343">
        <f t="shared" si="40"/>
        <v>0</v>
      </c>
      <c r="G85" s="1351" t="s">
        <v>528</v>
      </c>
      <c r="H85" s="1352">
        <v>3000</v>
      </c>
      <c r="I85" s="1348">
        <f t="shared" si="39"/>
        <v>1</v>
      </c>
      <c r="J85" s="1344">
        <v>0</v>
      </c>
    </row>
    <row r="86" spans="1:10" ht="56.25" x14ac:dyDescent="0.2">
      <c r="A86" s="8"/>
      <c r="B86" s="1632" t="s">
        <v>660</v>
      </c>
      <c r="C86" s="1633"/>
      <c r="D86" s="1634" t="s">
        <v>661</v>
      </c>
      <c r="E86" s="1635">
        <f>E87+E88+E89+E90</f>
        <v>555882</v>
      </c>
      <c r="F86" s="1636">
        <f t="shared" ref="F86:H86" si="41">F87+F88+F89+F90</f>
        <v>-300894.88</v>
      </c>
      <c r="G86" s="1637">
        <f t="shared" si="41"/>
        <v>254987.12</v>
      </c>
      <c r="H86" s="1637">
        <f t="shared" si="41"/>
        <v>254987.12</v>
      </c>
      <c r="I86" s="1639">
        <f t="shared" si="39"/>
        <v>1</v>
      </c>
      <c r="J86" s="1635">
        <f>J87+J88+J89+J90</f>
        <v>1939.04</v>
      </c>
    </row>
    <row r="87" spans="1:10" x14ac:dyDescent="0.2">
      <c r="A87" s="9"/>
      <c r="B87" s="9"/>
      <c r="C87" s="10" t="s">
        <v>342</v>
      </c>
      <c r="D87" s="11" t="s">
        <v>343</v>
      </c>
      <c r="E87" s="1345">
        <v>428267</v>
      </c>
      <c r="F87" s="1343">
        <f t="shared" ref="F87:F90" si="42">G87-E87</f>
        <v>-242789.88</v>
      </c>
      <c r="G87" s="1351" t="s">
        <v>663</v>
      </c>
      <c r="H87" s="1352">
        <v>185477.12</v>
      </c>
      <c r="I87" s="1348">
        <f t="shared" si="39"/>
        <v>1</v>
      </c>
      <c r="J87" s="1344">
        <v>329.95</v>
      </c>
    </row>
    <row r="88" spans="1:10" x14ac:dyDescent="0.2">
      <c r="A88" s="9"/>
      <c r="B88" s="9"/>
      <c r="C88" s="10" t="s">
        <v>453</v>
      </c>
      <c r="D88" s="11" t="s">
        <v>454</v>
      </c>
      <c r="E88" s="1345">
        <v>33395</v>
      </c>
      <c r="F88" s="1343">
        <f t="shared" si="42"/>
        <v>-4614</v>
      </c>
      <c r="G88" s="1351" t="s">
        <v>664</v>
      </c>
      <c r="H88" s="1352">
        <v>28781</v>
      </c>
      <c r="I88" s="1348">
        <f t="shared" si="39"/>
        <v>1</v>
      </c>
      <c r="J88" s="1344">
        <v>1067</v>
      </c>
    </row>
    <row r="89" spans="1:10" x14ac:dyDescent="0.2">
      <c r="A89" s="9"/>
      <c r="B89" s="9"/>
      <c r="C89" s="10" t="s">
        <v>345</v>
      </c>
      <c r="D89" s="11" t="s">
        <v>346</v>
      </c>
      <c r="E89" s="1345">
        <v>82423</v>
      </c>
      <c r="F89" s="1343">
        <f t="shared" si="42"/>
        <v>-46126</v>
      </c>
      <c r="G89" s="1351" t="s">
        <v>665</v>
      </c>
      <c r="H89" s="1352">
        <v>36297</v>
      </c>
      <c r="I89" s="1348">
        <f t="shared" si="39"/>
        <v>1</v>
      </c>
      <c r="J89" s="1344">
        <v>477.82</v>
      </c>
    </row>
    <row r="90" spans="1:10" x14ac:dyDescent="0.2">
      <c r="A90" s="9"/>
      <c r="B90" s="9"/>
      <c r="C90" s="10" t="s">
        <v>348</v>
      </c>
      <c r="D90" s="11" t="s">
        <v>349</v>
      </c>
      <c r="E90" s="1345">
        <v>11797</v>
      </c>
      <c r="F90" s="1343">
        <f t="shared" si="42"/>
        <v>-7365</v>
      </c>
      <c r="G90" s="1351" t="s">
        <v>666</v>
      </c>
      <c r="H90" s="1352">
        <v>4432</v>
      </c>
      <c r="I90" s="1348">
        <f t="shared" si="39"/>
        <v>1</v>
      </c>
      <c r="J90" s="1344">
        <v>64.27</v>
      </c>
    </row>
    <row r="91" spans="1:10" ht="67.5" x14ac:dyDescent="0.2">
      <c r="A91" s="8"/>
      <c r="B91" s="1632" t="s">
        <v>216</v>
      </c>
      <c r="C91" s="1633"/>
      <c r="D91" s="1634" t="s">
        <v>217</v>
      </c>
      <c r="E91" s="1635">
        <f>E92+E93+E94+E95</f>
        <v>438769</v>
      </c>
      <c r="F91" s="1636">
        <f t="shared" ref="F91:H91" si="43">F92+F93+F94+F95</f>
        <v>-8478</v>
      </c>
      <c r="G91" s="1637">
        <f t="shared" si="43"/>
        <v>430291</v>
      </c>
      <c r="H91" s="1637">
        <f t="shared" si="43"/>
        <v>430291</v>
      </c>
      <c r="I91" s="1639">
        <f t="shared" si="39"/>
        <v>1</v>
      </c>
      <c r="J91" s="1635">
        <f>J92+J93+J94+J95</f>
        <v>28935.62</v>
      </c>
    </row>
    <row r="92" spans="1:10" x14ac:dyDescent="0.2">
      <c r="A92" s="9"/>
      <c r="B92" s="9"/>
      <c r="C92" s="10" t="s">
        <v>342</v>
      </c>
      <c r="D92" s="11" t="s">
        <v>343</v>
      </c>
      <c r="E92" s="1345">
        <v>336510</v>
      </c>
      <c r="F92" s="1343">
        <f t="shared" ref="F92:F95" si="44">G92-E92</f>
        <v>-5163</v>
      </c>
      <c r="G92" s="1351" t="s">
        <v>672</v>
      </c>
      <c r="H92" s="1352">
        <v>331347</v>
      </c>
      <c r="I92" s="1348">
        <f t="shared" si="39"/>
        <v>1</v>
      </c>
      <c r="J92" s="1344">
        <v>5536.88</v>
      </c>
    </row>
    <row r="93" spans="1:10" x14ac:dyDescent="0.2">
      <c r="A93" s="9"/>
      <c r="B93" s="9"/>
      <c r="C93" s="10" t="s">
        <v>453</v>
      </c>
      <c r="D93" s="11" t="s">
        <v>454</v>
      </c>
      <c r="E93" s="1345">
        <v>28228</v>
      </c>
      <c r="F93" s="1343">
        <f t="shared" si="44"/>
        <v>-10399</v>
      </c>
      <c r="G93" s="1351" t="s">
        <v>673</v>
      </c>
      <c r="H93" s="1352">
        <v>17829</v>
      </c>
      <c r="I93" s="1348">
        <f t="shared" si="39"/>
        <v>1</v>
      </c>
      <c r="J93" s="1344">
        <v>16443</v>
      </c>
    </row>
    <row r="94" spans="1:10" x14ac:dyDescent="0.2">
      <c r="A94" s="9"/>
      <c r="B94" s="9"/>
      <c r="C94" s="10" t="s">
        <v>345</v>
      </c>
      <c r="D94" s="11" t="s">
        <v>346</v>
      </c>
      <c r="E94" s="1345">
        <v>64872</v>
      </c>
      <c r="F94" s="1343">
        <f t="shared" si="44"/>
        <v>4354</v>
      </c>
      <c r="G94" s="1351" t="s">
        <v>674</v>
      </c>
      <c r="H94" s="1352">
        <v>69226</v>
      </c>
      <c r="I94" s="1348">
        <f t="shared" si="39"/>
        <v>1</v>
      </c>
      <c r="J94" s="1344">
        <v>6085.07</v>
      </c>
    </row>
    <row r="95" spans="1:10" x14ac:dyDescent="0.2">
      <c r="A95" s="9"/>
      <c r="B95" s="9"/>
      <c r="C95" s="10" t="s">
        <v>348</v>
      </c>
      <c r="D95" s="11" t="s">
        <v>349</v>
      </c>
      <c r="E95" s="1345">
        <v>9159</v>
      </c>
      <c r="F95" s="1343">
        <f t="shared" si="44"/>
        <v>2730</v>
      </c>
      <c r="G95" s="1351" t="s">
        <v>675</v>
      </c>
      <c r="H95" s="1352">
        <v>11889</v>
      </c>
      <c r="I95" s="1348">
        <f t="shared" si="39"/>
        <v>1</v>
      </c>
      <c r="J95" s="1344">
        <v>870.67</v>
      </c>
    </row>
    <row r="96" spans="1:10" ht="15" x14ac:dyDescent="0.2">
      <c r="A96" s="8"/>
      <c r="B96" s="1632" t="s">
        <v>219</v>
      </c>
      <c r="C96" s="1633"/>
      <c r="D96" s="1634" t="s">
        <v>14</v>
      </c>
      <c r="E96" s="1635">
        <f>E97+E98+E99+E100+E101+E102</f>
        <v>0</v>
      </c>
      <c r="F96" s="1636">
        <f t="shared" ref="F96:H96" si="45">F97+F98+F99+F100+F101+F102</f>
        <v>139000</v>
      </c>
      <c r="G96" s="1637">
        <f t="shared" si="45"/>
        <v>139000</v>
      </c>
      <c r="H96" s="1637">
        <f t="shared" si="45"/>
        <v>73742.789999999994</v>
      </c>
      <c r="I96" s="1639">
        <f t="shared" si="39"/>
        <v>0.53052366906474813</v>
      </c>
      <c r="J96" s="1635">
        <f>J97+J98+J99+J100+J101+J102</f>
        <v>2212.2800000000002</v>
      </c>
    </row>
    <row r="97" spans="1:10" x14ac:dyDescent="0.2">
      <c r="A97" s="9"/>
      <c r="B97" s="9"/>
      <c r="C97" s="10" t="s">
        <v>688</v>
      </c>
      <c r="D97" s="11" t="s">
        <v>343</v>
      </c>
      <c r="E97" s="1345">
        <v>0</v>
      </c>
      <c r="F97" s="1343">
        <f t="shared" ref="F97:F102" si="46">G97-E97</f>
        <v>104094.06</v>
      </c>
      <c r="G97" s="1351" t="s">
        <v>689</v>
      </c>
      <c r="H97" s="1352">
        <v>55422.51</v>
      </c>
      <c r="I97" s="1348">
        <f t="shared" si="39"/>
        <v>0.53242721054400222</v>
      </c>
      <c r="J97" s="1344">
        <v>1791.2</v>
      </c>
    </row>
    <row r="98" spans="1:10" x14ac:dyDescent="0.2">
      <c r="A98" s="9"/>
      <c r="B98" s="9"/>
      <c r="C98" s="10" t="s">
        <v>451</v>
      </c>
      <c r="D98" s="11" t="s">
        <v>343</v>
      </c>
      <c r="E98" s="1345">
        <v>0</v>
      </c>
      <c r="F98" s="1343">
        <f t="shared" si="46"/>
        <v>12136.14</v>
      </c>
      <c r="G98" s="1351" t="s">
        <v>690</v>
      </c>
      <c r="H98" s="1352">
        <v>6460.59</v>
      </c>
      <c r="I98" s="1348">
        <f t="shared" si="39"/>
        <v>0.53234306789473429</v>
      </c>
      <c r="J98" s="1344">
        <v>208.8</v>
      </c>
    </row>
    <row r="99" spans="1:10" x14ac:dyDescent="0.2">
      <c r="A99" s="9"/>
      <c r="B99" s="9"/>
      <c r="C99" s="10" t="s">
        <v>691</v>
      </c>
      <c r="D99" s="11" t="s">
        <v>346</v>
      </c>
      <c r="E99" s="1345">
        <v>0</v>
      </c>
      <c r="F99" s="1343">
        <f t="shared" si="46"/>
        <v>17841.990000000002</v>
      </c>
      <c r="G99" s="1351" t="s">
        <v>692</v>
      </c>
      <c r="H99" s="1352">
        <v>9503.48</v>
      </c>
      <c r="I99" s="1348">
        <f t="shared" si="39"/>
        <v>0.53264686282191609</v>
      </c>
      <c r="J99" s="1344">
        <v>163.79</v>
      </c>
    </row>
    <row r="100" spans="1:10" x14ac:dyDescent="0.2">
      <c r="A100" s="9"/>
      <c r="B100" s="9"/>
      <c r="C100" s="10" t="s">
        <v>459</v>
      </c>
      <c r="D100" s="11" t="s">
        <v>346</v>
      </c>
      <c r="E100" s="1345">
        <v>0</v>
      </c>
      <c r="F100" s="1343">
        <f t="shared" si="46"/>
        <v>2080.17</v>
      </c>
      <c r="G100" s="1351" t="s">
        <v>693</v>
      </c>
      <c r="H100" s="1352">
        <v>1107.83</v>
      </c>
      <c r="I100" s="1348">
        <f t="shared" ref="I100:I114" si="47">H100/G100</f>
        <v>0.53256704980842906</v>
      </c>
      <c r="J100" s="1344">
        <v>19.09</v>
      </c>
    </row>
    <row r="101" spans="1:10" x14ac:dyDescent="0.2">
      <c r="A101" s="9"/>
      <c r="B101" s="9"/>
      <c r="C101" s="10" t="s">
        <v>694</v>
      </c>
      <c r="D101" s="11" t="s">
        <v>349</v>
      </c>
      <c r="E101" s="1345">
        <v>0</v>
      </c>
      <c r="F101" s="1343">
        <f t="shared" si="46"/>
        <v>2550.3000000000002</v>
      </c>
      <c r="G101" s="1351" t="s">
        <v>695</v>
      </c>
      <c r="H101" s="1352">
        <v>1118.04</v>
      </c>
      <c r="I101" s="1348">
        <f t="shared" si="47"/>
        <v>0.43839548288436647</v>
      </c>
      <c r="J101" s="1344">
        <v>26.33</v>
      </c>
    </row>
    <row r="102" spans="1:10" x14ac:dyDescent="0.2">
      <c r="A102" s="9"/>
      <c r="B102" s="9"/>
      <c r="C102" s="10" t="s">
        <v>464</v>
      </c>
      <c r="D102" s="11" t="s">
        <v>349</v>
      </c>
      <c r="E102" s="1345">
        <v>0</v>
      </c>
      <c r="F102" s="1343">
        <f t="shared" si="46"/>
        <v>297.33999999999997</v>
      </c>
      <c r="G102" s="1351" t="s">
        <v>696</v>
      </c>
      <c r="H102" s="1352">
        <v>130.34</v>
      </c>
      <c r="I102" s="1348">
        <f t="shared" si="47"/>
        <v>0.4383534001479788</v>
      </c>
      <c r="J102" s="1344">
        <v>3.07</v>
      </c>
    </row>
    <row r="103" spans="1:10" x14ac:dyDescent="0.2">
      <c r="A103" s="1640" t="s">
        <v>714</v>
      </c>
      <c r="B103" s="1640"/>
      <c r="C103" s="1640"/>
      <c r="D103" s="1641" t="s">
        <v>715</v>
      </c>
      <c r="E103" s="1642">
        <f>E104+E106</f>
        <v>132364</v>
      </c>
      <c r="F103" s="1643">
        <f t="shared" ref="F103:H103" si="48">F104+F106</f>
        <v>7021</v>
      </c>
      <c r="G103" s="1644">
        <f t="shared" si="48"/>
        <v>139385</v>
      </c>
      <c r="H103" s="1644">
        <f t="shared" si="48"/>
        <v>130460.5</v>
      </c>
      <c r="I103" s="1645">
        <f t="shared" si="47"/>
        <v>0.93597230691968292</v>
      </c>
      <c r="J103" s="1642">
        <f>J104+J106</f>
        <v>0</v>
      </c>
    </row>
    <row r="104" spans="1:10" ht="15" x14ac:dyDescent="0.2">
      <c r="A104" s="8"/>
      <c r="B104" s="1632" t="s">
        <v>720</v>
      </c>
      <c r="C104" s="1633"/>
      <c r="D104" s="1634" t="s">
        <v>721</v>
      </c>
      <c r="E104" s="1635">
        <f>E105</f>
        <v>2400</v>
      </c>
      <c r="F104" s="1636">
        <f t="shared" ref="F104:H104" si="49">F105</f>
        <v>0</v>
      </c>
      <c r="G104" s="1637" t="str">
        <f t="shared" si="49"/>
        <v>2 400,00</v>
      </c>
      <c r="H104" s="1637">
        <f t="shared" si="49"/>
        <v>2400</v>
      </c>
      <c r="I104" s="1639">
        <f t="shared" si="47"/>
        <v>1</v>
      </c>
      <c r="J104" s="1635">
        <f>J105</f>
        <v>0</v>
      </c>
    </row>
    <row r="105" spans="1:10" x14ac:dyDescent="0.2">
      <c r="A105" s="9"/>
      <c r="B105" s="9"/>
      <c r="C105" s="10" t="s">
        <v>363</v>
      </c>
      <c r="D105" s="11" t="s">
        <v>364</v>
      </c>
      <c r="E105" s="1345">
        <v>2400</v>
      </c>
      <c r="F105" s="1343">
        <f>G105-E105</f>
        <v>0</v>
      </c>
      <c r="G105" s="1351" t="s">
        <v>722</v>
      </c>
      <c r="H105" s="1352">
        <v>2400</v>
      </c>
      <c r="I105" s="1348">
        <f t="shared" si="47"/>
        <v>1</v>
      </c>
      <c r="J105" s="1344">
        <v>0</v>
      </c>
    </row>
    <row r="106" spans="1:10" ht="15" x14ac:dyDescent="0.2">
      <c r="A106" s="8"/>
      <c r="B106" s="1632" t="s">
        <v>723</v>
      </c>
      <c r="C106" s="1633"/>
      <c r="D106" s="1634" t="s">
        <v>724</v>
      </c>
      <c r="E106" s="1635">
        <f>E107+E108+E109</f>
        <v>129964</v>
      </c>
      <c r="F106" s="1636">
        <f t="shared" ref="F106:H106" si="50">F107+F108+F109</f>
        <v>7021</v>
      </c>
      <c r="G106" s="1637">
        <f t="shared" si="50"/>
        <v>136985</v>
      </c>
      <c r="H106" s="1637">
        <f t="shared" si="50"/>
        <v>128060.5</v>
      </c>
      <c r="I106" s="1639">
        <f t="shared" si="47"/>
        <v>0.93485053108004523</v>
      </c>
      <c r="J106" s="1635">
        <f>J107+J108+J109</f>
        <v>0</v>
      </c>
    </row>
    <row r="107" spans="1:10" x14ac:dyDescent="0.2">
      <c r="A107" s="9"/>
      <c r="B107" s="9"/>
      <c r="C107" s="10" t="s">
        <v>345</v>
      </c>
      <c r="D107" s="11" t="s">
        <v>346</v>
      </c>
      <c r="E107" s="1345">
        <v>3863</v>
      </c>
      <c r="F107" s="1343">
        <f t="shared" ref="F107:F109" si="51">G107-E107</f>
        <v>1021</v>
      </c>
      <c r="G107" s="1351" t="s">
        <v>728</v>
      </c>
      <c r="H107" s="1352">
        <v>3601.34</v>
      </c>
      <c r="I107" s="1348">
        <f t="shared" si="47"/>
        <v>0.7373751023751024</v>
      </c>
      <c r="J107" s="1344">
        <v>0</v>
      </c>
    </row>
    <row r="108" spans="1:10" x14ac:dyDescent="0.2">
      <c r="A108" s="9"/>
      <c r="B108" s="9"/>
      <c r="C108" s="10" t="s">
        <v>348</v>
      </c>
      <c r="D108" s="11" t="s">
        <v>349</v>
      </c>
      <c r="E108" s="1345">
        <v>341</v>
      </c>
      <c r="F108" s="1343">
        <f t="shared" si="51"/>
        <v>200</v>
      </c>
      <c r="G108" s="1351" t="s">
        <v>729</v>
      </c>
      <c r="H108" s="1352">
        <v>343.08</v>
      </c>
      <c r="I108" s="1348">
        <f t="shared" si="47"/>
        <v>0.63415896487985213</v>
      </c>
      <c r="J108" s="1344">
        <v>0</v>
      </c>
    </row>
    <row r="109" spans="1:10" x14ac:dyDescent="0.2">
      <c r="A109" s="9"/>
      <c r="B109" s="9"/>
      <c r="C109" s="10" t="s">
        <v>363</v>
      </c>
      <c r="D109" s="11" t="s">
        <v>364</v>
      </c>
      <c r="E109" s="1345">
        <v>125760</v>
      </c>
      <c r="F109" s="1343">
        <f t="shared" si="51"/>
        <v>5800</v>
      </c>
      <c r="G109" s="1351" t="s">
        <v>730</v>
      </c>
      <c r="H109" s="1691">
        <v>124116.08</v>
      </c>
      <c r="I109" s="1348">
        <f t="shared" si="47"/>
        <v>0.94341806020066887</v>
      </c>
      <c r="J109" s="1344">
        <v>0</v>
      </c>
    </row>
    <row r="110" spans="1:10" x14ac:dyDescent="0.2">
      <c r="A110" s="1640" t="s">
        <v>234</v>
      </c>
      <c r="B110" s="1640"/>
      <c r="C110" s="1640"/>
      <c r="D110" s="1641" t="s">
        <v>235</v>
      </c>
      <c r="E110" s="1642">
        <f>E111+E117</f>
        <v>1280161</v>
      </c>
      <c r="F110" s="1643">
        <f t="shared" ref="F110:H110" si="52">F111+F117</f>
        <v>-163800</v>
      </c>
      <c r="G110" s="1644">
        <f t="shared" si="52"/>
        <v>1116361</v>
      </c>
      <c r="H110" s="1644">
        <f t="shared" si="52"/>
        <v>1104293.31</v>
      </c>
      <c r="I110" s="1645">
        <f t="shared" si="47"/>
        <v>0.98919015443928981</v>
      </c>
      <c r="J110" s="1642">
        <f>J111+J117</f>
        <v>77172.340000000011</v>
      </c>
    </row>
    <row r="111" spans="1:10" ht="15" x14ac:dyDescent="0.2">
      <c r="A111" s="8"/>
      <c r="B111" s="1632" t="s">
        <v>256</v>
      </c>
      <c r="C111" s="1633"/>
      <c r="D111" s="1634" t="s">
        <v>257</v>
      </c>
      <c r="E111" s="1635">
        <f>E112+E113+E114+E115+E116</f>
        <v>1082761</v>
      </c>
      <c r="F111" s="1636">
        <f t="shared" ref="F111:H111" si="53">F112+F113+F114+F115+F116</f>
        <v>33600</v>
      </c>
      <c r="G111" s="1637">
        <f t="shared" si="53"/>
        <v>1116361</v>
      </c>
      <c r="H111" s="1637">
        <f t="shared" si="53"/>
        <v>1104293.31</v>
      </c>
      <c r="I111" s="1639">
        <f t="shared" si="47"/>
        <v>0.98919015443928981</v>
      </c>
      <c r="J111" s="1635">
        <f>J112+J113+J114+J115+J116</f>
        <v>77172.340000000011</v>
      </c>
    </row>
    <row r="112" spans="1:10" x14ac:dyDescent="0.2">
      <c r="A112" s="9"/>
      <c r="B112" s="9"/>
      <c r="C112" s="10" t="s">
        <v>342</v>
      </c>
      <c r="D112" s="11" t="s">
        <v>343</v>
      </c>
      <c r="E112" s="1345">
        <v>835071</v>
      </c>
      <c r="F112" s="1343">
        <f t="shared" ref="F112:F116" si="54">G112-E112</f>
        <v>28200</v>
      </c>
      <c r="G112" s="1351" t="s">
        <v>752</v>
      </c>
      <c r="H112" s="1352">
        <v>857246.85</v>
      </c>
      <c r="I112" s="1348">
        <f t="shared" si="47"/>
        <v>0.99302171623974389</v>
      </c>
      <c r="J112" s="1344">
        <v>0</v>
      </c>
    </row>
    <row r="113" spans="1:10" x14ac:dyDescent="0.2">
      <c r="A113" s="9"/>
      <c r="B113" s="9"/>
      <c r="C113" s="10" t="s">
        <v>453</v>
      </c>
      <c r="D113" s="11" t="s">
        <v>454</v>
      </c>
      <c r="E113" s="1345">
        <v>61737</v>
      </c>
      <c r="F113" s="1343">
        <f t="shared" si="54"/>
        <v>0</v>
      </c>
      <c r="G113" s="1351" t="s">
        <v>753</v>
      </c>
      <c r="H113" s="1352">
        <v>61737</v>
      </c>
      <c r="I113" s="1348">
        <f t="shared" si="47"/>
        <v>1</v>
      </c>
      <c r="J113" s="1344">
        <v>64595.86</v>
      </c>
    </row>
    <row r="114" spans="1:10" x14ac:dyDescent="0.2">
      <c r="A114" s="9"/>
      <c r="B114" s="9"/>
      <c r="C114" s="10" t="s">
        <v>345</v>
      </c>
      <c r="D114" s="11" t="s">
        <v>346</v>
      </c>
      <c r="E114" s="1345">
        <v>154301</v>
      </c>
      <c r="F114" s="1343">
        <f t="shared" si="54"/>
        <v>3859</v>
      </c>
      <c r="G114" s="1351" t="s">
        <v>754</v>
      </c>
      <c r="H114" s="1352">
        <v>156071.72</v>
      </c>
      <c r="I114" s="1348">
        <f t="shared" si="47"/>
        <v>0.98679640870005059</v>
      </c>
      <c r="J114" s="1344">
        <v>11278.43</v>
      </c>
    </row>
    <row r="115" spans="1:10" x14ac:dyDescent="0.2">
      <c r="A115" s="9"/>
      <c r="B115" s="9"/>
      <c r="C115" s="10" t="s">
        <v>348</v>
      </c>
      <c r="D115" s="11" t="s">
        <v>349</v>
      </c>
      <c r="E115" s="1345">
        <v>21652</v>
      </c>
      <c r="F115" s="1343">
        <f t="shared" si="54"/>
        <v>-2459</v>
      </c>
      <c r="G115" s="1351" t="s">
        <v>755</v>
      </c>
      <c r="H115" s="1352">
        <v>17337.740000000002</v>
      </c>
      <c r="I115" s="1348">
        <f t="shared" ref="I115:I134" si="55">H115/G115</f>
        <v>0.90333663314750179</v>
      </c>
      <c r="J115" s="1344">
        <v>1298.05</v>
      </c>
    </row>
    <row r="116" spans="1:10" x14ac:dyDescent="0.2">
      <c r="A116" s="9"/>
      <c r="B116" s="9"/>
      <c r="C116" s="10" t="s">
        <v>363</v>
      </c>
      <c r="D116" s="11" t="s">
        <v>364</v>
      </c>
      <c r="E116" s="1345">
        <v>10000</v>
      </c>
      <c r="F116" s="1343">
        <f t="shared" si="54"/>
        <v>4000</v>
      </c>
      <c r="G116" s="1351" t="s">
        <v>207</v>
      </c>
      <c r="H116" s="1352">
        <v>11900</v>
      </c>
      <c r="I116" s="1348">
        <f t="shared" si="55"/>
        <v>0.85</v>
      </c>
      <c r="J116" s="1344">
        <v>0</v>
      </c>
    </row>
    <row r="117" spans="1:10" ht="22.5" x14ac:dyDescent="0.2">
      <c r="A117" s="8"/>
      <c r="B117" s="1632" t="s">
        <v>259</v>
      </c>
      <c r="C117" s="1633"/>
      <c r="D117" s="1634" t="s">
        <v>260</v>
      </c>
      <c r="E117" s="1635">
        <f>E118+E119</f>
        <v>197400</v>
      </c>
      <c r="F117" s="1636">
        <f t="shared" ref="F117:H117" si="56">F118+F119</f>
        <v>-197400</v>
      </c>
      <c r="G117" s="1637">
        <f t="shared" si="56"/>
        <v>0</v>
      </c>
      <c r="H117" s="1637">
        <f t="shared" si="56"/>
        <v>0</v>
      </c>
      <c r="I117" s="1639">
        <v>0</v>
      </c>
      <c r="J117" s="1635">
        <f>J118</f>
        <v>0</v>
      </c>
    </row>
    <row r="118" spans="1:10" x14ac:dyDescent="0.2">
      <c r="A118" s="9"/>
      <c r="B118" s="9"/>
      <c r="C118" s="10" t="s">
        <v>345</v>
      </c>
      <c r="D118" s="11" t="s">
        <v>346</v>
      </c>
      <c r="E118" s="1345">
        <v>29400</v>
      </c>
      <c r="F118" s="1343">
        <f>G118-E118</f>
        <v>-29400</v>
      </c>
      <c r="G118" s="1351" t="s">
        <v>7</v>
      </c>
      <c r="H118" s="1352">
        <v>0</v>
      </c>
      <c r="I118" s="1348">
        <v>0</v>
      </c>
      <c r="J118" s="1344">
        <v>0</v>
      </c>
    </row>
    <row r="119" spans="1:10" x14ac:dyDescent="0.2">
      <c r="A119" s="9"/>
      <c r="B119" s="9"/>
      <c r="C119" s="10" t="s">
        <v>363</v>
      </c>
      <c r="D119" s="11" t="s">
        <v>364</v>
      </c>
      <c r="E119" s="1345">
        <v>168000</v>
      </c>
      <c r="F119" s="1343">
        <f t="shared" ref="F119" si="57">G119-E119</f>
        <v>-168000</v>
      </c>
      <c r="G119" s="1351" t="s">
        <v>7</v>
      </c>
      <c r="H119" s="1352">
        <v>0</v>
      </c>
      <c r="I119" s="1348">
        <v>0</v>
      </c>
      <c r="J119" s="1344">
        <v>0</v>
      </c>
    </row>
    <row r="120" spans="1:10" ht="22.5" x14ac:dyDescent="0.2">
      <c r="A120" s="1640" t="s">
        <v>271</v>
      </c>
      <c r="B120" s="1640"/>
      <c r="C120" s="1640"/>
      <c r="D120" s="1641" t="s">
        <v>272</v>
      </c>
      <c r="E120" s="1642">
        <f>E121</f>
        <v>0</v>
      </c>
      <c r="F120" s="1643">
        <f t="shared" ref="F120:H120" si="58">F121</f>
        <v>147110.34999999998</v>
      </c>
      <c r="G120" s="1644">
        <f t="shared" si="58"/>
        <v>147110.34999999998</v>
      </c>
      <c r="H120" s="1644">
        <f t="shared" si="58"/>
        <v>104134.45999999999</v>
      </c>
      <c r="I120" s="1645">
        <f t="shared" si="55"/>
        <v>0.70786630580377252</v>
      </c>
      <c r="J120" s="1642">
        <f>J121</f>
        <v>7197.12</v>
      </c>
    </row>
    <row r="121" spans="1:10" ht="15" x14ac:dyDescent="0.2">
      <c r="A121" s="8"/>
      <c r="B121" s="1632" t="s">
        <v>273</v>
      </c>
      <c r="C121" s="1633"/>
      <c r="D121" s="1634" t="s">
        <v>14</v>
      </c>
      <c r="E121" s="1635">
        <f>E122+E123+E124+E125+E126+E127+E128</f>
        <v>0</v>
      </c>
      <c r="F121" s="1635">
        <f t="shared" ref="F121:H121" si="59">F122+F123+F124+F125+F126+F127+F128</f>
        <v>147110.34999999998</v>
      </c>
      <c r="G121" s="1635">
        <f t="shared" si="59"/>
        <v>147110.34999999998</v>
      </c>
      <c r="H121" s="1635">
        <f t="shared" si="59"/>
        <v>104134.45999999999</v>
      </c>
      <c r="I121" s="1639">
        <f t="shared" si="55"/>
        <v>0.70786630580377252</v>
      </c>
      <c r="J121" s="1635">
        <f>J122+J123+J124+J125+J126+J127+J128</f>
        <v>7197.12</v>
      </c>
    </row>
    <row r="122" spans="1:10" x14ac:dyDescent="0.2">
      <c r="A122" s="9"/>
      <c r="B122" s="9"/>
      <c r="C122" s="10" t="s">
        <v>688</v>
      </c>
      <c r="D122" s="11" t="s">
        <v>343</v>
      </c>
      <c r="E122" s="1345">
        <v>0</v>
      </c>
      <c r="F122" s="1343">
        <f t="shared" ref="F122:F128" si="60">G122-E122</f>
        <v>90778.76</v>
      </c>
      <c r="G122" s="1351" t="s">
        <v>774</v>
      </c>
      <c r="H122" s="1352">
        <v>62451.63</v>
      </c>
      <c r="I122" s="1348">
        <f t="shared" si="55"/>
        <v>0.68795420867172019</v>
      </c>
      <c r="J122" s="1344">
        <v>0</v>
      </c>
    </row>
    <row r="123" spans="1:10" x14ac:dyDescent="0.2">
      <c r="A123" s="9"/>
      <c r="B123" s="9"/>
      <c r="C123" s="10" t="s">
        <v>451</v>
      </c>
      <c r="D123" s="11" t="s">
        <v>343</v>
      </c>
      <c r="E123" s="1345">
        <v>0</v>
      </c>
      <c r="F123" s="1343">
        <f t="shared" si="60"/>
        <v>7150.45</v>
      </c>
      <c r="G123" s="1351" t="s">
        <v>775</v>
      </c>
      <c r="H123" s="1352">
        <v>5879.55</v>
      </c>
      <c r="I123" s="1348">
        <f t="shared" si="55"/>
        <v>0.82226293450062593</v>
      </c>
      <c r="J123" s="1344">
        <v>0</v>
      </c>
    </row>
    <row r="124" spans="1:10" x14ac:dyDescent="0.2">
      <c r="A124" s="9"/>
      <c r="B124" s="9"/>
      <c r="C124" s="10" t="s">
        <v>691</v>
      </c>
      <c r="D124" s="11" t="s">
        <v>346</v>
      </c>
      <c r="E124" s="1345">
        <v>0</v>
      </c>
      <c r="F124" s="1343">
        <f t="shared" si="60"/>
        <v>18622.509999999998</v>
      </c>
      <c r="G124" s="1351" t="s">
        <v>776</v>
      </c>
      <c r="H124" s="1352">
        <v>12732.83</v>
      </c>
      <c r="I124" s="1348">
        <f t="shared" si="55"/>
        <v>0.68373328836982772</v>
      </c>
      <c r="J124" s="1344">
        <v>558.72</v>
      </c>
    </row>
    <row r="125" spans="1:10" x14ac:dyDescent="0.2">
      <c r="A125" s="9"/>
      <c r="B125" s="9"/>
      <c r="C125" s="10" t="s">
        <v>459</v>
      </c>
      <c r="D125" s="11" t="s">
        <v>346</v>
      </c>
      <c r="E125" s="1345">
        <v>0</v>
      </c>
      <c r="F125" s="1343">
        <f t="shared" si="60"/>
        <v>1248.45</v>
      </c>
      <c r="G125" s="1351" t="s">
        <v>777</v>
      </c>
      <c r="H125" s="1352">
        <v>1026.56</v>
      </c>
      <c r="I125" s="1348">
        <f t="shared" si="55"/>
        <v>0.82226761183867991</v>
      </c>
      <c r="J125" s="1344">
        <v>0</v>
      </c>
    </row>
    <row r="126" spans="1:10" x14ac:dyDescent="0.2">
      <c r="A126" s="9"/>
      <c r="B126" s="9"/>
      <c r="C126" s="10" t="s">
        <v>694</v>
      </c>
      <c r="D126" s="11" t="s">
        <v>349</v>
      </c>
      <c r="E126" s="1345">
        <v>0</v>
      </c>
      <c r="F126" s="1343">
        <f t="shared" si="60"/>
        <v>2613.0100000000002</v>
      </c>
      <c r="G126" s="1351" t="s">
        <v>778</v>
      </c>
      <c r="H126" s="1352">
        <v>1714.33</v>
      </c>
      <c r="I126" s="1348">
        <f t="shared" si="55"/>
        <v>0.65607479496825494</v>
      </c>
      <c r="J126" s="1344">
        <v>78.400000000000006</v>
      </c>
    </row>
    <row r="127" spans="1:10" x14ac:dyDescent="0.2">
      <c r="A127" s="9"/>
      <c r="B127" s="9"/>
      <c r="C127" s="10" t="s">
        <v>464</v>
      </c>
      <c r="D127" s="11" t="s">
        <v>349</v>
      </c>
      <c r="E127" s="1345">
        <v>0</v>
      </c>
      <c r="F127" s="1343">
        <f t="shared" si="60"/>
        <v>175.17</v>
      </c>
      <c r="G127" s="1351" t="s">
        <v>779</v>
      </c>
      <c r="H127" s="1352">
        <v>135.52000000000001</v>
      </c>
      <c r="I127" s="1348">
        <f t="shared" si="55"/>
        <v>0.77364845578580821</v>
      </c>
      <c r="J127" s="1344">
        <v>0</v>
      </c>
    </row>
    <row r="128" spans="1:10" x14ac:dyDescent="0.2">
      <c r="A128" s="9"/>
      <c r="B128" s="9"/>
      <c r="C128" s="10" t="s">
        <v>782</v>
      </c>
      <c r="D128" s="11" t="s">
        <v>364</v>
      </c>
      <c r="E128" s="1345">
        <v>0</v>
      </c>
      <c r="F128" s="1343">
        <f t="shared" si="60"/>
        <v>26522</v>
      </c>
      <c r="G128" s="1351" t="s">
        <v>783</v>
      </c>
      <c r="H128" s="1352">
        <v>20194.04</v>
      </c>
      <c r="I128" s="1348">
        <f t="shared" si="55"/>
        <v>0.76140713370032431</v>
      </c>
      <c r="J128" s="1344">
        <v>6560</v>
      </c>
    </row>
    <row r="129" spans="1:10" x14ac:dyDescent="0.2">
      <c r="A129" s="1640" t="s">
        <v>276</v>
      </c>
      <c r="B129" s="1640"/>
      <c r="C129" s="1640"/>
      <c r="D129" s="1641" t="s">
        <v>277</v>
      </c>
      <c r="E129" s="1642">
        <f>E130</f>
        <v>839666</v>
      </c>
      <c r="F129" s="1643">
        <f t="shared" ref="F129:H129" si="61">F130</f>
        <v>-53403.68</v>
      </c>
      <c r="G129" s="1644">
        <f t="shared" si="61"/>
        <v>786262.32</v>
      </c>
      <c r="H129" s="1644">
        <f t="shared" si="61"/>
        <v>780128.45</v>
      </c>
      <c r="I129" s="1645">
        <f t="shared" si="55"/>
        <v>0.99219869775776615</v>
      </c>
      <c r="J129" s="1642">
        <f>J130</f>
        <v>80018.67</v>
      </c>
    </row>
    <row r="130" spans="1:10" ht="15" x14ac:dyDescent="0.2">
      <c r="A130" s="8"/>
      <c r="B130" s="1632" t="s">
        <v>794</v>
      </c>
      <c r="C130" s="1633"/>
      <c r="D130" s="1634" t="s">
        <v>795</v>
      </c>
      <c r="E130" s="1635">
        <f>E131+E132+E133+E134</f>
        <v>839666</v>
      </c>
      <c r="F130" s="1636">
        <f t="shared" ref="F130:H130" si="62">F131+F132+F133+F134</f>
        <v>-53403.68</v>
      </c>
      <c r="G130" s="1637">
        <f t="shared" si="62"/>
        <v>786262.32</v>
      </c>
      <c r="H130" s="1637">
        <f t="shared" si="62"/>
        <v>780128.45</v>
      </c>
      <c r="I130" s="1639">
        <f t="shared" si="55"/>
        <v>0.99219869775776615</v>
      </c>
      <c r="J130" s="1635">
        <f>J131+J132+J133+J134</f>
        <v>80018.67</v>
      </c>
    </row>
    <row r="131" spans="1:10" x14ac:dyDescent="0.2">
      <c r="A131" s="9"/>
      <c r="B131" s="9"/>
      <c r="C131" s="10" t="s">
        <v>342</v>
      </c>
      <c r="D131" s="11" t="s">
        <v>343</v>
      </c>
      <c r="E131" s="1345">
        <v>648961</v>
      </c>
      <c r="F131" s="1343">
        <f t="shared" ref="F131:F134" si="63">G131-E131</f>
        <v>-37631</v>
      </c>
      <c r="G131" s="1351" t="s">
        <v>797</v>
      </c>
      <c r="H131" s="1352">
        <v>606109.68999999994</v>
      </c>
      <c r="I131" s="1348">
        <f t="shared" si="55"/>
        <v>0.9914607331555787</v>
      </c>
      <c r="J131" s="1344">
        <v>9838.14</v>
      </c>
    </row>
    <row r="132" spans="1:10" x14ac:dyDescent="0.2">
      <c r="A132" s="9"/>
      <c r="B132" s="9"/>
      <c r="C132" s="10" t="s">
        <v>453</v>
      </c>
      <c r="D132" s="11" t="s">
        <v>454</v>
      </c>
      <c r="E132" s="1345">
        <v>53792</v>
      </c>
      <c r="F132" s="1343">
        <f t="shared" si="63"/>
        <v>-7127.8099999999977</v>
      </c>
      <c r="G132" s="1351" t="s">
        <v>798</v>
      </c>
      <c r="H132" s="1352">
        <v>46662.58</v>
      </c>
      <c r="I132" s="1348">
        <f t="shared" si="55"/>
        <v>0.99996549816893854</v>
      </c>
      <c r="J132" s="1344">
        <v>53687.72</v>
      </c>
    </row>
    <row r="133" spans="1:10" x14ac:dyDescent="0.2">
      <c r="A133" s="9"/>
      <c r="B133" s="9"/>
      <c r="C133" s="10" t="s">
        <v>345</v>
      </c>
      <c r="D133" s="11" t="s">
        <v>346</v>
      </c>
      <c r="E133" s="1345">
        <v>119808</v>
      </c>
      <c r="F133" s="1343">
        <f t="shared" si="63"/>
        <v>-5832</v>
      </c>
      <c r="G133" s="1351" t="s">
        <v>799</v>
      </c>
      <c r="H133" s="1352">
        <v>113194.41</v>
      </c>
      <c r="I133" s="1348">
        <f t="shared" si="55"/>
        <v>0.99314250368498636</v>
      </c>
      <c r="J133" s="1344">
        <v>14560.83</v>
      </c>
    </row>
    <row r="134" spans="1:10" x14ac:dyDescent="0.2">
      <c r="A134" s="9"/>
      <c r="B134" s="9"/>
      <c r="C134" s="10" t="s">
        <v>348</v>
      </c>
      <c r="D134" s="11" t="s">
        <v>349</v>
      </c>
      <c r="E134" s="1345">
        <v>17105</v>
      </c>
      <c r="F134" s="1343">
        <f t="shared" si="63"/>
        <v>-2812.8700000000008</v>
      </c>
      <c r="G134" s="1351" t="s">
        <v>800</v>
      </c>
      <c r="H134" s="1352">
        <v>14161.77</v>
      </c>
      <c r="I134" s="1348">
        <f t="shared" si="55"/>
        <v>0.99087889628767734</v>
      </c>
      <c r="J134" s="1344">
        <v>1931.98</v>
      </c>
    </row>
    <row r="135" spans="1:10" x14ac:dyDescent="0.2">
      <c r="A135" s="1640" t="s">
        <v>284</v>
      </c>
      <c r="B135" s="1640"/>
      <c r="C135" s="1640"/>
      <c r="D135" s="1641" t="s">
        <v>285</v>
      </c>
      <c r="E135" s="1642">
        <f>E136+E142+E147+E151+E156</f>
        <v>609713</v>
      </c>
      <c r="F135" s="1643">
        <f t="shared" ref="F135:H135" si="64">F136+F142+F147+F151+F156</f>
        <v>88943.940000000017</v>
      </c>
      <c r="G135" s="1644">
        <f t="shared" si="64"/>
        <v>698656.94</v>
      </c>
      <c r="H135" s="1644">
        <f t="shared" si="64"/>
        <v>665591.47000000009</v>
      </c>
      <c r="I135" s="1645">
        <f t="shared" ref="I135:I161" si="65">H135/G135</f>
        <v>0.95267280963386713</v>
      </c>
      <c r="J135" s="1642">
        <f>J136+J142+J147+J151+J156</f>
        <v>27104.36</v>
      </c>
    </row>
    <row r="136" spans="1:10" ht="15" x14ac:dyDescent="0.2">
      <c r="A136" s="8"/>
      <c r="B136" s="1632" t="s">
        <v>286</v>
      </c>
      <c r="C136" s="1633"/>
      <c r="D136" s="1634" t="s">
        <v>287</v>
      </c>
      <c r="E136" s="1635">
        <f>E137+E138+E139+E140+E141</f>
        <v>89937</v>
      </c>
      <c r="F136" s="1636">
        <f t="shared" ref="F136:H136" si="66">F137+F138+F139+F140+F141</f>
        <v>54253</v>
      </c>
      <c r="G136" s="1637">
        <f t="shared" si="66"/>
        <v>144190</v>
      </c>
      <c r="H136" s="1637">
        <f t="shared" si="66"/>
        <v>135324.77000000002</v>
      </c>
      <c r="I136" s="1639">
        <f t="shared" si="65"/>
        <v>0.93851702614605736</v>
      </c>
      <c r="J136" s="1635">
        <f>J137+J138+J139+J140+J141</f>
        <v>8900.5300000000007</v>
      </c>
    </row>
    <row r="137" spans="1:10" x14ac:dyDescent="0.2">
      <c r="A137" s="9"/>
      <c r="B137" s="9"/>
      <c r="C137" s="10" t="s">
        <v>342</v>
      </c>
      <c r="D137" s="11" t="s">
        <v>343</v>
      </c>
      <c r="E137" s="1345">
        <v>60000</v>
      </c>
      <c r="F137" s="1343">
        <f t="shared" ref="F137:F141" si="67">G137-E137</f>
        <v>52000</v>
      </c>
      <c r="G137" s="1351" t="s">
        <v>813</v>
      </c>
      <c r="H137" s="1352">
        <v>103134.77</v>
      </c>
      <c r="I137" s="1348">
        <f t="shared" si="65"/>
        <v>0.92084616071428571</v>
      </c>
      <c r="J137" s="1344">
        <v>0</v>
      </c>
    </row>
    <row r="138" spans="1:10" x14ac:dyDescent="0.2">
      <c r="A138" s="9"/>
      <c r="B138" s="9"/>
      <c r="C138" s="10" t="s">
        <v>453</v>
      </c>
      <c r="D138" s="11" t="s">
        <v>454</v>
      </c>
      <c r="E138" s="1345">
        <v>6000</v>
      </c>
      <c r="F138" s="1343">
        <f t="shared" si="67"/>
        <v>0</v>
      </c>
      <c r="G138" s="1351" t="s">
        <v>47</v>
      </c>
      <c r="H138" s="1352">
        <v>6000</v>
      </c>
      <c r="I138" s="1348">
        <f t="shared" si="65"/>
        <v>1</v>
      </c>
      <c r="J138" s="1344">
        <v>7422.68</v>
      </c>
    </row>
    <row r="139" spans="1:10" x14ac:dyDescent="0.2">
      <c r="A139" s="9"/>
      <c r="B139" s="9"/>
      <c r="C139" s="10" t="s">
        <v>345</v>
      </c>
      <c r="D139" s="11" t="s">
        <v>346</v>
      </c>
      <c r="E139" s="1345">
        <v>12222</v>
      </c>
      <c r="F139" s="1343">
        <f t="shared" si="67"/>
        <v>7778</v>
      </c>
      <c r="G139" s="1351" t="s">
        <v>102</v>
      </c>
      <c r="H139" s="1352">
        <v>20000</v>
      </c>
      <c r="I139" s="1348">
        <f t="shared" si="65"/>
        <v>1</v>
      </c>
      <c r="J139" s="1344">
        <v>1295.99</v>
      </c>
    </row>
    <row r="140" spans="1:10" x14ac:dyDescent="0.2">
      <c r="A140" s="9"/>
      <c r="B140" s="9"/>
      <c r="C140" s="10" t="s">
        <v>348</v>
      </c>
      <c r="D140" s="11" t="s">
        <v>349</v>
      </c>
      <c r="E140" s="1345">
        <v>1715</v>
      </c>
      <c r="F140" s="1343">
        <f t="shared" si="67"/>
        <v>475</v>
      </c>
      <c r="G140" s="1351" t="s">
        <v>814</v>
      </c>
      <c r="H140" s="1352">
        <v>2190</v>
      </c>
      <c r="I140" s="1348">
        <f t="shared" si="65"/>
        <v>1</v>
      </c>
      <c r="J140" s="1344">
        <v>181.86</v>
      </c>
    </row>
    <row r="141" spans="1:10" x14ac:dyDescent="0.2">
      <c r="A141" s="9"/>
      <c r="B141" s="9"/>
      <c r="C141" s="10" t="s">
        <v>363</v>
      </c>
      <c r="D141" s="11" t="s">
        <v>364</v>
      </c>
      <c r="E141" s="1345">
        <v>10000</v>
      </c>
      <c r="F141" s="1343">
        <f t="shared" si="67"/>
        <v>-6000</v>
      </c>
      <c r="G141" s="1351" t="s">
        <v>210</v>
      </c>
      <c r="H141" s="1352">
        <v>4000</v>
      </c>
      <c r="I141" s="1348">
        <f t="shared" si="65"/>
        <v>1</v>
      </c>
      <c r="J141" s="1344">
        <v>0</v>
      </c>
    </row>
    <row r="142" spans="1:10" ht="56.25" x14ac:dyDescent="0.2">
      <c r="A142" s="8"/>
      <c r="B142" s="1632" t="s">
        <v>293</v>
      </c>
      <c r="C142" s="1633"/>
      <c r="D142" s="1634" t="s">
        <v>294</v>
      </c>
      <c r="E142" s="1635">
        <f>E143+E144+E145+E146</f>
        <v>405024</v>
      </c>
      <c r="F142" s="1636">
        <f t="shared" ref="F142:H142" si="68">F143+F144+F145+F146</f>
        <v>25490.000000000029</v>
      </c>
      <c r="G142" s="1637">
        <f t="shared" si="68"/>
        <v>430514</v>
      </c>
      <c r="H142" s="1637">
        <f t="shared" si="68"/>
        <v>414141.08</v>
      </c>
      <c r="I142" s="1639">
        <f t="shared" si="65"/>
        <v>0.96196890228889187</v>
      </c>
      <c r="J142" s="1635">
        <f>J143+J144+J145+J146</f>
        <v>10457.370000000001</v>
      </c>
    </row>
    <row r="143" spans="1:10" x14ac:dyDescent="0.2">
      <c r="A143" s="9"/>
      <c r="B143" s="9"/>
      <c r="C143" s="10" t="s">
        <v>342</v>
      </c>
      <c r="D143" s="11" t="s">
        <v>343</v>
      </c>
      <c r="E143" s="1345">
        <v>142348</v>
      </c>
      <c r="F143" s="1343">
        <f t="shared" ref="F143:F146" si="69">G143-E143</f>
        <v>-960.20999999999185</v>
      </c>
      <c r="G143" s="1351" t="s">
        <v>821</v>
      </c>
      <c r="H143" s="1352">
        <v>136398.06</v>
      </c>
      <c r="I143" s="1348">
        <f t="shared" si="65"/>
        <v>0.96470890449592561</v>
      </c>
      <c r="J143" s="1344">
        <v>0</v>
      </c>
    </row>
    <row r="144" spans="1:10" x14ac:dyDescent="0.2">
      <c r="A144" s="9"/>
      <c r="B144" s="9"/>
      <c r="C144" s="10" t="s">
        <v>453</v>
      </c>
      <c r="D144" s="11" t="s">
        <v>454</v>
      </c>
      <c r="E144" s="1345">
        <v>8969</v>
      </c>
      <c r="F144" s="1343">
        <f t="shared" si="69"/>
        <v>0</v>
      </c>
      <c r="G144" s="1351" t="s">
        <v>822</v>
      </c>
      <c r="H144" s="1352">
        <v>8969</v>
      </c>
      <c r="I144" s="1348">
        <f t="shared" si="65"/>
        <v>1</v>
      </c>
      <c r="J144" s="1344">
        <v>8816.5499999999993</v>
      </c>
    </row>
    <row r="145" spans="1:10" x14ac:dyDescent="0.2">
      <c r="A145" s="9"/>
      <c r="B145" s="9"/>
      <c r="C145" s="10" t="s">
        <v>345</v>
      </c>
      <c r="D145" s="11" t="s">
        <v>346</v>
      </c>
      <c r="E145" s="1345">
        <v>250000</v>
      </c>
      <c r="F145" s="1343">
        <f t="shared" si="69"/>
        <v>27647.710000000021</v>
      </c>
      <c r="G145" s="1351" t="s">
        <v>823</v>
      </c>
      <c r="H145" s="1352">
        <v>266473.75</v>
      </c>
      <c r="I145" s="1348">
        <f t="shared" si="65"/>
        <v>0.95975489947314885</v>
      </c>
      <c r="J145" s="1344">
        <v>1539.38</v>
      </c>
    </row>
    <row r="146" spans="1:10" x14ac:dyDescent="0.2">
      <c r="A146" s="9"/>
      <c r="B146" s="9"/>
      <c r="C146" s="10" t="s">
        <v>348</v>
      </c>
      <c r="D146" s="11" t="s">
        <v>349</v>
      </c>
      <c r="E146" s="1345">
        <v>3707</v>
      </c>
      <c r="F146" s="1343">
        <f t="shared" si="69"/>
        <v>-1197.5</v>
      </c>
      <c r="G146" s="1351" t="s">
        <v>824</v>
      </c>
      <c r="H146" s="1352">
        <v>2300.27</v>
      </c>
      <c r="I146" s="1348">
        <f t="shared" si="65"/>
        <v>0.9166248256624826</v>
      </c>
      <c r="J146" s="1344">
        <v>101.44</v>
      </c>
    </row>
    <row r="147" spans="1:10" ht="15" x14ac:dyDescent="0.2">
      <c r="A147" s="8"/>
      <c r="B147" s="1632" t="s">
        <v>298</v>
      </c>
      <c r="C147" s="1633"/>
      <c r="D147" s="1634" t="s">
        <v>299</v>
      </c>
      <c r="E147" s="1635">
        <f>E148+E149+E150</f>
        <v>0</v>
      </c>
      <c r="F147" s="1636">
        <f t="shared" ref="F147:J147" si="70">F148+F149+F150</f>
        <v>327.00000000000006</v>
      </c>
      <c r="G147" s="1637">
        <f t="shared" si="70"/>
        <v>327.00000000000006</v>
      </c>
      <c r="H147" s="1637">
        <f t="shared" si="70"/>
        <v>310.88</v>
      </c>
      <c r="I147" s="1639">
        <f t="shared" si="65"/>
        <v>0.95070336391437293</v>
      </c>
      <c r="J147" s="1635">
        <f t="shared" si="70"/>
        <v>0</v>
      </c>
    </row>
    <row r="148" spans="1:10" x14ac:dyDescent="0.2">
      <c r="A148" s="9"/>
      <c r="B148" s="9"/>
      <c r="C148" s="10" t="s">
        <v>342</v>
      </c>
      <c r="D148" s="11" t="s">
        <v>343</v>
      </c>
      <c r="E148" s="1345">
        <v>0</v>
      </c>
      <c r="F148" s="1343">
        <f>G148-E148</f>
        <v>272.72000000000003</v>
      </c>
      <c r="G148" s="1351" t="s">
        <v>829</v>
      </c>
      <c r="H148" s="1352">
        <v>259.26</v>
      </c>
      <c r="I148" s="1348">
        <f t="shared" si="65"/>
        <v>0.95064535054268096</v>
      </c>
      <c r="J148" s="1344">
        <v>0</v>
      </c>
    </row>
    <row r="149" spans="1:10" x14ac:dyDescent="0.2">
      <c r="A149" s="9"/>
      <c r="B149" s="9"/>
      <c r="C149" s="10" t="s">
        <v>345</v>
      </c>
      <c r="D149" s="11" t="s">
        <v>346</v>
      </c>
      <c r="E149" s="1345">
        <v>0</v>
      </c>
      <c r="F149" s="1343">
        <f t="shared" ref="F149:F150" si="71">G149-E149</f>
        <v>47.61</v>
      </c>
      <c r="G149" s="1351" t="s">
        <v>830</v>
      </c>
      <c r="H149" s="1352">
        <v>45.27</v>
      </c>
      <c r="I149" s="1348">
        <f t="shared" si="65"/>
        <v>0.95085066162570897</v>
      </c>
      <c r="J149" s="1344">
        <v>0</v>
      </c>
    </row>
    <row r="150" spans="1:10" x14ac:dyDescent="0.2">
      <c r="A150" s="9"/>
      <c r="B150" s="9"/>
      <c r="C150" s="10" t="s">
        <v>348</v>
      </c>
      <c r="D150" s="11" t="s">
        <v>349</v>
      </c>
      <c r="E150" s="1345">
        <v>0</v>
      </c>
      <c r="F150" s="1343">
        <f t="shared" si="71"/>
        <v>6.67</v>
      </c>
      <c r="G150" s="1351" t="s">
        <v>831</v>
      </c>
      <c r="H150" s="1352">
        <v>6.35</v>
      </c>
      <c r="I150" s="1348">
        <f t="shared" si="65"/>
        <v>0.95202398800599697</v>
      </c>
      <c r="J150" s="1344">
        <v>0</v>
      </c>
    </row>
    <row r="151" spans="1:10" ht="15" x14ac:dyDescent="0.2">
      <c r="A151" s="8"/>
      <c r="B151" s="1632" t="s">
        <v>301</v>
      </c>
      <c r="C151" s="1633"/>
      <c r="D151" s="1634" t="s">
        <v>302</v>
      </c>
      <c r="E151" s="1635">
        <f>E152+E153+E154+E155</f>
        <v>114752</v>
      </c>
      <c r="F151" s="1636">
        <f t="shared" ref="F151:H151" si="72">F152+F153+F154+F155</f>
        <v>8873.9399999999932</v>
      </c>
      <c r="G151" s="1637">
        <f t="shared" si="72"/>
        <v>123625.93999999999</v>
      </c>
      <c r="H151" s="1637">
        <f t="shared" si="72"/>
        <v>115814.73999999999</v>
      </c>
      <c r="I151" s="1639">
        <f t="shared" si="65"/>
        <v>0.93681584948919294</v>
      </c>
      <c r="J151" s="1635">
        <f>J152+J153+J154+J155</f>
        <v>7746.46</v>
      </c>
    </row>
    <row r="152" spans="1:10" x14ac:dyDescent="0.2">
      <c r="A152" s="9"/>
      <c r="B152" s="9"/>
      <c r="C152" s="10" t="s">
        <v>342</v>
      </c>
      <c r="D152" s="11" t="s">
        <v>343</v>
      </c>
      <c r="E152" s="1345">
        <v>90320</v>
      </c>
      <c r="F152" s="1343">
        <f t="shared" ref="F152:F155" si="73">G152-E152</f>
        <v>10793.429999999993</v>
      </c>
      <c r="G152" s="1351" t="s">
        <v>833</v>
      </c>
      <c r="H152" s="1352">
        <v>93941.06</v>
      </c>
      <c r="I152" s="1348">
        <f t="shared" si="65"/>
        <v>0.92906609933022744</v>
      </c>
      <c r="J152" s="1344">
        <v>0</v>
      </c>
    </row>
    <row r="153" spans="1:10" x14ac:dyDescent="0.2">
      <c r="A153" s="9"/>
      <c r="B153" s="9"/>
      <c r="C153" s="10" t="s">
        <v>453</v>
      </c>
      <c r="D153" s="11" t="s">
        <v>454</v>
      </c>
      <c r="E153" s="1345">
        <v>5378</v>
      </c>
      <c r="F153" s="1343">
        <f t="shared" si="73"/>
        <v>-1919.4899999999998</v>
      </c>
      <c r="G153" s="1351" t="s">
        <v>834</v>
      </c>
      <c r="H153" s="1352">
        <v>3458.51</v>
      </c>
      <c r="I153" s="1348">
        <f t="shared" si="65"/>
        <v>1</v>
      </c>
      <c r="J153" s="1344">
        <v>6488.11</v>
      </c>
    </row>
    <row r="154" spans="1:10" x14ac:dyDescent="0.2">
      <c r="A154" s="9"/>
      <c r="B154" s="9"/>
      <c r="C154" s="10" t="s">
        <v>345</v>
      </c>
      <c r="D154" s="11" t="s">
        <v>346</v>
      </c>
      <c r="E154" s="1345">
        <v>16709</v>
      </c>
      <c r="F154" s="1343">
        <f t="shared" si="73"/>
        <v>0</v>
      </c>
      <c r="G154" s="1351" t="s">
        <v>835</v>
      </c>
      <c r="H154" s="1352">
        <v>16515.64</v>
      </c>
      <c r="I154" s="1348">
        <f t="shared" si="65"/>
        <v>0.98842779340475184</v>
      </c>
      <c r="J154" s="1344">
        <v>1132.8</v>
      </c>
    </row>
    <row r="155" spans="1:10" x14ac:dyDescent="0.2">
      <c r="A155" s="9"/>
      <c r="B155" s="9"/>
      <c r="C155" s="10" t="s">
        <v>348</v>
      </c>
      <c r="D155" s="11" t="s">
        <v>349</v>
      </c>
      <c r="E155" s="1345">
        <v>2345</v>
      </c>
      <c r="F155" s="1343">
        <f t="shared" si="73"/>
        <v>0</v>
      </c>
      <c r="G155" s="1351" t="s">
        <v>836</v>
      </c>
      <c r="H155" s="1352">
        <v>1899.53</v>
      </c>
      <c r="I155" s="1348">
        <f t="shared" si="65"/>
        <v>0.81003411513859269</v>
      </c>
      <c r="J155" s="1344">
        <v>125.55</v>
      </c>
    </row>
    <row r="156" spans="1:10" ht="15" x14ac:dyDescent="0.2">
      <c r="A156" s="8"/>
      <c r="B156" s="1632" t="s">
        <v>307</v>
      </c>
      <c r="C156" s="1633"/>
      <c r="D156" s="1634" t="s">
        <v>14</v>
      </c>
      <c r="E156" s="1635">
        <f>E157+E158+E159</f>
        <v>0</v>
      </c>
      <c r="F156" s="1636">
        <f t="shared" ref="F156:H156" si="74">F157+F158+F159</f>
        <v>0</v>
      </c>
      <c r="G156" s="1637">
        <f t="shared" si="74"/>
        <v>0</v>
      </c>
      <c r="H156" s="1637">
        <f t="shared" si="74"/>
        <v>0</v>
      </c>
      <c r="I156" s="1639">
        <v>0</v>
      </c>
      <c r="J156" s="1635">
        <f>J157+J158+J159</f>
        <v>0</v>
      </c>
    </row>
    <row r="157" spans="1:10" x14ac:dyDescent="0.2">
      <c r="A157" s="9"/>
      <c r="B157" s="9"/>
      <c r="C157" s="10" t="s">
        <v>342</v>
      </c>
      <c r="D157" s="11" t="s">
        <v>343</v>
      </c>
      <c r="E157" s="1345">
        <v>0</v>
      </c>
      <c r="F157" s="1343">
        <f t="shared" ref="F157:F159" si="75">G157-E157</f>
        <v>0</v>
      </c>
      <c r="G157" s="1351" t="s">
        <v>7</v>
      </c>
      <c r="H157" s="1352">
        <v>0</v>
      </c>
      <c r="I157" s="1348">
        <v>0</v>
      </c>
      <c r="J157" s="1344">
        <v>0</v>
      </c>
    </row>
    <row r="158" spans="1:10" x14ac:dyDescent="0.2">
      <c r="A158" s="9"/>
      <c r="B158" s="9"/>
      <c r="C158" s="10" t="s">
        <v>345</v>
      </c>
      <c r="D158" s="11" t="s">
        <v>346</v>
      </c>
      <c r="E158" s="1345">
        <v>0</v>
      </c>
      <c r="F158" s="1343">
        <f t="shared" si="75"/>
        <v>0</v>
      </c>
      <c r="G158" s="1351" t="s">
        <v>7</v>
      </c>
      <c r="H158" s="1352">
        <v>0</v>
      </c>
      <c r="I158" s="1348">
        <v>0</v>
      </c>
      <c r="J158" s="1344">
        <v>0</v>
      </c>
    </row>
    <row r="159" spans="1:10" x14ac:dyDescent="0.2">
      <c r="A159" s="9"/>
      <c r="B159" s="9"/>
      <c r="C159" s="10" t="s">
        <v>348</v>
      </c>
      <c r="D159" s="11" t="s">
        <v>349</v>
      </c>
      <c r="E159" s="1345">
        <v>0</v>
      </c>
      <c r="F159" s="1343">
        <f t="shared" si="75"/>
        <v>0</v>
      </c>
      <c r="G159" s="1351" t="s">
        <v>7</v>
      </c>
      <c r="H159" s="1352">
        <v>0</v>
      </c>
      <c r="I159" s="1348">
        <v>0</v>
      </c>
      <c r="J159" s="1344">
        <v>0</v>
      </c>
    </row>
    <row r="160" spans="1:10" ht="22.5" x14ac:dyDescent="0.2">
      <c r="A160" s="1640" t="s">
        <v>308</v>
      </c>
      <c r="B160" s="1640"/>
      <c r="C160" s="1640"/>
      <c r="D160" s="1641" t="s">
        <v>309</v>
      </c>
      <c r="E160" s="1642">
        <f>E161+E163+E168+E170+E174</f>
        <v>170332.37</v>
      </c>
      <c r="F160" s="1643">
        <f t="shared" ref="F160:H160" si="76">F161+F163+F168+F170+F174</f>
        <v>47385.36</v>
      </c>
      <c r="G160" s="1644">
        <f t="shared" si="76"/>
        <v>217717.73</v>
      </c>
      <c r="H160" s="1644">
        <f t="shared" si="76"/>
        <v>211458.66</v>
      </c>
      <c r="I160" s="1645">
        <f t="shared" si="65"/>
        <v>0.97125144562181498</v>
      </c>
      <c r="J160" s="1642">
        <f>J161+J163+J168+J170+J174</f>
        <v>11162.98</v>
      </c>
    </row>
    <row r="161" spans="1:10" ht="15" x14ac:dyDescent="0.2">
      <c r="A161" s="8"/>
      <c r="B161" s="1632" t="s">
        <v>844</v>
      </c>
      <c r="C161" s="1633"/>
      <c r="D161" s="1634" t="s">
        <v>845</v>
      </c>
      <c r="E161" s="1635">
        <f>E162</f>
        <v>0</v>
      </c>
      <c r="F161" s="1636">
        <f t="shared" ref="F161:H161" si="77">F162</f>
        <v>15000</v>
      </c>
      <c r="G161" s="1637" t="str">
        <f t="shared" si="77"/>
        <v>15 000,00</v>
      </c>
      <c r="H161" s="1637">
        <f t="shared" si="77"/>
        <v>15000</v>
      </c>
      <c r="I161" s="1639">
        <f t="shared" si="65"/>
        <v>1</v>
      </c>
      <c r="J161" s="1635">
        <f>J162</f>
        <v>0</v>
      </c>
    </row>
    <row r="162" spans="1:10" x14ac:dyDescent="0.2">
      <c r="A162" s="9"/>
      <c r="B162" s="9"/>
      <c r="C162" s="10" t="s">
        <v>363</v>
      </c>
      <c r="D162" s="11" t="s">
        <v>364</v>
      </c>
      <c r="E162" s="1345">
        <v>0</v>
      </c>
      <c r="F162" s="1343">
        <f t="shared" ref="F162" si="78">G162-E162</f>
        <v>15000</v>
      </c>
      <c r="G162" s="1351" t="s">
        <v>29</v>
      </c>
      <c r="H162" s="1352">
        <v>15000</v>
      </c>
      <c r="I162" s="1348">
        <f t="shared" ref="I162:I184" si="79">H162/G162</f>
        <v>1</v>
      </c>
      <c r="J162" s="1344">
        <v>0</v>
      </c>
    </row>
    <row r="163" spans="1:10" ht="15" x14ac:dyDescent="0.2">
      <c r="A163" s="8"/>
      <c r="B163" s="1632" t="s">
        <v>310</v>
      </c>
      <c r="C163" s="1633"/>
      <c r="D163" s="1634" t="s">
        <v>311</v>
      </c>
      <c r="E163" s="1635">
        <f>E164+E165+E166+E167</f>
        <v>140118.76999999999</v>
      </c>
      <c r="F163" s="1636">
        <f t="shared" ref="F163:H163" si="80">F164+F165+F166+F167</f>
        <v>31187.360000000001</v>
      </c>
      <c r="G163" s="1637">
        <f t="shared" si="80"/>
        <v>171306.13</v>
      </c>
      <c r="H163" s="1637">
        <f t="shared" si="80"/>
        <v>170791.43</v>
      </c>
      <c r="I163" s="1639">
        <f t="shared" si="79"/>
        <v>0.99699543734949814</v>
      </c>
      <c r="J163" s="1635">
        <f>J164+J165+J166+J167</f>
        <v>11162.98</v>
      </c>
    </row>
    <row r="164" spans="1:10" x14ac:dyDescent="0.2">
      <c r="A164" s="9"/>
      <c r="B164" s="9"/>
      <c r="C164" s="10" t="s">
        <v>342</v>
      </c>
      <c r="D164" s="11" t="s">
        <v>343</v>
      </c>
      <c r="E164" s="1345">
        <v>108851.35</v>
      </c>
      <c r="F164" s="1343">
        <f t="shared" ref="F164:F167" si="81">G164-E164</f>
        <v>26284</v>
      </c>
      <c r="G164" s="1351" t="s">
        <v>848</v>
      </c>
      <c r="H164" s="1352">
        <v>135135.35</v>
      </c>
      <c r="I164" s="1348">
        <f t="shared" si="79"/>
        <v>1</v>
      </c>
      <c r="J164" s="1344">
        <v>0</v>
      </c>
    </row>
    <row r="165" spans="1:10" x14ac:dyDescent="0.2">
      <c r="A165" s="9"/>
      <c r="B165" s="9"/>
      <c r="C165" s="10" t="s">
        <v>453</v>
      </c>
      <c r="D165" s="11" t="s">
        <v>454</v>
      </c>
      <c r="E165" s="1345">
        <v>8945.84</v>
      </c>
      <c r="F165" s="1343">
        <f t="shared" si="81"/>
        <v>-258.81999999999971</v>
      </c>
      <c r="G165" s="1351" t="s">
        <v>849</v>
      </c>
      <c r="H165" s="1352">
        <v>8687.02</v>
      </c>
      <c r="I165" s="1348">
        <f t="shared" si="79"/>
        <v>1</v>
      </c>
      <c r="J165" s="1344">
        <v>9391.34</v>
      </c>
    </row>
    <row r="166" spans="1:10" x14ac:dyDescent="0.2">
      <c r="A166" s="9"/>
      <c r="B166" s="9"/>
      <c r="C166" s="10" t="s">
        <v>345</v>
      </c>
      <c r="D166" s="11" t="s">
        <v>346</v>
      </c>
      <c r="E166" s="1345">
        <v>20249.34</v>
      </c>
      <c r="F166" s="1343">
        <f t="shared" si="81"/>
        <v>4518.2200000000012</v>
      </c>
      <c r="G166" s="1351" t="s">
        <v>850</v>
      </c>
      <c r="H166" s="1352">
        <v>24283.37</v>
      </c>
      <c r="I166" s="1348">
        <f t="shared" si="79"/>
        <v>0.98045063785047848</v>
      </c>
      <c r="J166" s="1344">
        <v>1614.39</v>
      </c>
    </row>
    <row r="167" spans="1:10" x14ac:dyDescent="0.2">
      <c r="A167" s="9"/>
      <c r="B167" s="9"/>
      <c r="C167" s="10" t="s">
        <v>348</v>
      </c>
      <c r="D167" s="11" t="s">
        <v>349</v>
      </c>
      <c r="E167" s="1345">
        <v>2072.2399999999998</v>
      </c>
      <c r="F167" s="1343">
        <f t="shared" si="81"/>
        <v>643.96</v>
      </c>
      <c r="G167" s="1351" t="s">
        <v>851</v>
      </c>
      <c r="H167" s="1352">
        <v>2685.69</v>
      </c>
      <c r="I167" s="1348">
        <f t="shared" si="79"/>
        <v>0.98876739562624261</v>
      </c>
      <c r="J167" s="1344">
        <v>157.25</v>
      </c>
    </row>
    <row r="168" spans="1:10" ht="15" x14ac:dyDescent="0.2">
      <c r="A168" s="8"/>
      <c r="B168" s="1632" t="s">
        <v>860</v>
      </c>
      <c r="C168" s="1633"/>
      <c r="D168" s="1634" t="s">
        <v>861</v>
      </c>
      <c r="E168" s="1635">
        <f>E169</f>
        <v>1500</v>
      </c>
      <c r="F168" s="1636">
        <f t="shared" ref="F168:H168" si="82">F169</f>
        <v>0</v>
      </c>
      <c r="G168" s="1637" t="str">
        <f t="shared" si="82"/>
        <v>1 500,00</v>
      </c>
      <c r="H168" s="1637">
        <f t="shared" si="82"/>
        <v>1483.82</v>
      </c>
      <c r="I168" s="1639">
        <f t="shared" si="79"/>
        <v>0.98921333333333328</v>
      </c>
      <c r="J168" s="1635">
        <f>J169</f>
        <v>0</v>
      </c>
    </row>
    <row r="169" spans="1:10" x14ac:dyDescent="0.2">
      <c r="A169" s="9"/>
      <c r="B169" s="9"/>
      <c r="C169" s="10" t="s">
        <v>363</v>
      </c>
      <c r="D169" s="11" t="s">
        <v>364</v>
      </c>
      <c r="E169" s="1345">
        <v>1500</v>
      </c>
      <c r="F169" s="1343">
        <f>G169-E169</f>
        <v>0</v>
      </c>
      <c r="G169" s="1351" t="s">
        <v>79</v>
      </c>
      <c r="H169" s="1352">
        <v>1483.82</v>
      </c>
      <c r="I169" s="1348">
        <f t="shared" si="79"/>
        <v>0.98921333333333328</v>
      </c>
      <c r="J169" s="1344">
        <v>0</v>
      </c>
    </row>
    <row r="170" spans="1:10" ht="15" x14ac:dyDescent="0.2">
      <c r="A170" s="8"/>
      <c r="B170" s="1632" t="s">
        <v>867</v>
      </c>
      <c r="C170" s="1633"/>
      <c r="D170" s="1634" t="s">
        <v>868</v>
      </c>
      <c r="E170" s="1635">
        <f>E171+E172+E173</f>
        <v>0</v>
      </c>
      <c r="F170" s="1636">
        <f>F171+F172+F173</f>
        <v>1198</v>
      </c>
      <c r="G170" s="1637">
        <f>G171+G172+G173</f>
        <v>1198</v>
      </c>
      <c r="H170" s="1637">
        <f>H171+H172+H173</f>
        <v>1196.4000000000001</v>
      </c>
      <c r="I170" s="1639">
        <f t="shared" si="79"/>
        <v>0.99866444073455762</v>
      </c>
      <c r="J170" s="1635">
        <f>J171+J172+J173</f>
        <v>0</v>
      </c>
    </row>
    <row r="171" spans="1:10" x14ac:dyDescent="0.2">
      <c r="A171" s="9"/>
      <c r="B171" s="9"/>
      <c r="C171" s="10" t="s">
        <v>345</v>
      </c>
      <c r="D171" s="11" t="s">
        <v>346</v>
      </c>
      <c r="E171" s="1345">
        <v>0</v>
      </c>
      <c r="F171" s="1343">
        <f t="shared" ref="F171:F173" si="83">G171-E171</f>
        <v>173</v>
      </c>
      <c r="G171" s="1351" t="s">
        <v>870</v>
      </c>
      <c r="H171" s="1352">
        <v>171.9</v>
      </c>
      <c r="I171" s="1348">
        <f t="shared" si="79"/>
        <v>0.99364161849710986</v>
      </c>
      <c r="J171" s="1344">
        <v>0</v>
      </c>
    </row>
    <row r="172" spans="1:10" x14ac:dyDescent="0.2">
      <c r="A172" s="9"/>
      <c r="B172" s="9"/>
      <c r="C172" s="10" t="s">
        <v>348</v>
      </c>
      <c r="D172" s="11" t="s">
        <v>349</v>
      </c>
      <c r="E172" s="1345">
        <v>0</v>
      </c>
      <c r="F172" s="1343">
        <f t="shared" si="83"/>
        <v>25</v>
      </c>
      <c r="G172" s="1351" t="s">
        <v>871</v>
      </c>
      <c r="H172" s="1352">
        <v>24.5</v>
      </c>
      <c r="I172" s="1348">
        <f t="shared" si="79"/>
        <v>0.98</v>
      </c>
      <c r="J172" s="1344">
        <v>0</v>
      </c>
    </row>
    <row r="173" spans="1:10" x14ac:dyDescent="0.2">
      <c r="A173" s="9"/>
      <c r="B173" s="9"/>
      <c r="C173" s="10" t="s">
        <v>363</v>
      </c>
      <c r="D173" s="11" t="s">
        <v>364</v>
      </c>
      <c r="E173" s="1345">
        <v>0</v>
      </c>
      <c r="F173" s="1343">
        <f t="shared" si="83"/>
        <v>1000</v>
      </c>
      <c r="G173" s="1351" t="s">
        <v>95</v>
      </c>
      <c r="H173" s="1352">
        <v>1000</v>
      </c>
      <c r="I173" s="1348">
        <f t="shared" si="79"/>
        <v>1</v>
      </c>
      <c r="J173" s="1344">
        <v>0</v>
      </c>
    </row>
    <row r="174" spans="1:10" ht="15" x14ac:dyDescent="0.2">
      <c r="A174" s="8"/>
      <c r="B174" s="1632" t="s">
        <v>315</v>
      </c>
      <c r="C174" s="1633"/>
      <c r="D174" s="1634" t="s">
        <v>14</v>
      </c>
      <c r="E174" s="1635">
        <f>E175+E176+E177</f>
        <v>28713.599999999999</v>
      </c>
      <c r="F174" s="1636">
        <f t="shared" ref="F174:H174" si="84">F175+F176+F177</f>
        <v>0</v>
      </c>
      <c r="G174" s="1637">
        <f t="shared" si="84"/>
        <v>28713.599999999999</v>
      </c>
      <c r="H174" s="1637">
        <f t="shared" si="84"/>
        <v>22987.01</v>
      </c>
      <c r="I174" s="1639">
        <f t="shared" si="79"/>
        <v>0.80056175470857016</v>
      </c>
      <c r="J174" s="1635">
        <f>J175+J176+J177</f>
        <v>0</v>
      </c>
    </row>
    <row r="175" spans="1:10" x14ac:dyDescent="0.2">
      <c r="A175" s="9"/>
      <c r="B175" s="9"/>
      <c r="C175" s="10" t="s">
        <v>345</v>
      </c>
      <c r="D175" s="11" t="s">
        <v>346</v>
      </c>
      <c r="E175" s="1345">
        <v>4125.6000000000004</v>
      </c>
      <c r="F175" s="1343">
        <f>G175-E175</f>
        <v>0</v>
      </c>
      <c r="G175" s="1351" t="s">
        <v>879</v>
      </c>
      <c r="H175" s="1352">
        <v>2167.14</v>
      </c>
      <c r="I175" s="1348">
        <f t="shared" si="79"/>
        <v>0.52529086678301329</v>
      </c>
      <c r="J175" s="1344">
        <v>0</v>
      </c>
    </row>
    <row r="176" spans="1:10" x14ac:dyDescent="0.2">
      <c r="A176" s="9"/>
      <c r="B176" s="9"/>
      <c r="C176" s="10" t="s">
        <v>348</v>
      </c>
      <c r="D176" s="11" t="s">
        <v>349</v>
      </c>
      <c r="E176" s="1345">
        <v>588</v>
      </c>
      <c r="F176" s="1343">
        <f t="shared" ref="F176:F177" si="85">G176-E176</f>
        <v>0</v>
      </c>
      <c r="G176" s="1351" t="s">
        <v>880</v>
      </c>
      <c r="H176" s="1352">
        <v>308.87</v>
      </c>
      <c r="I176" s="1348">
        <f t="shared" si="79"/>
        <v>0.52528911564625846</v>
      </c>
      <c r="J176" s="1344">
        <v>0</v>
      </c>
    </row>
    <row r="177" spans="1:10" x14ac:dyDescent="0.2">
      <c r="A177" s="9"/>
      <c r="B177" s="9"/>
      <c r="C177" s="10" t="s">
        <v>363</v>
      </c>
      <c r="D177" s="11" t="s">
        <v>364</v>
      </c>
      <c r="E177" s="1345">
        <v>24000</v>
      </c>
      <c r="F177" s="1343">
        <f t="shared" si="85"/>
        <v>0</v>
      </c>
      <c r="G177" s="1351" t="s">
        <v>881</v>
      </c>
      <c r="H177" s="1352">
        <v>20511</v>
      </c>
      <c r="I177" s="1348">
        <f t="shared" si="79"/>
        <v>0.85462499999999997</v>
      </c>
      <c r="J177" s="1344">
        <v>0</v>
      </c>
    </row>
    <row r="178" spans="1:10" x14ac:dyDescent="0.2">
      <c r="A178" s="1640" t="s">
        <v>317</v>
      </c>
      <c r="B178" s="1640"/>
      <c r="C178" s="1640"/>
      <c r="D178" s="1641" t="s">
        <v>318</v>
      </c>
      <c r="E178" s="1642">
        <f>E179+E181+E185</f>
        <v>7093</v>
      </c>
      <c r="F178" s="1643">
        <f t="shared" ref="F178:H178" si="86">F179+F181+F185</f>
        <v>1200</v>
      </c>
      <c r="G178" s="1644">
        <f t="shared" si="86"/>
        <v>8293</v>
      </c>
      <c r="H178" s="1644">
        <f t="shared" si="86"/>
        <v>7652</v>
      </c>
      <c r="I178" s="1645">
        <f t="shared" si="79"/>
        <v>0.92270589653924995</v>
      </c>
      <c r="J178" s="1642">
        <f>J179+J181+J185</f>
        <v>0</v>
      </c>
    </row>
    <row r="179" spans="1:10" ht="15" x14ac:dyDescent="0.2">
      <c r="A179" s="8"/>
      <c r="B179" s="1632" t="s">
        <v>884</v>
      </c>
      <c r="C179" s="1633"/>
      <c r="D179" s="1634" t="s">
        <v>885</v>
      </c>
      <c r="E179" s="1635">
        <f>E180</f>
        <v>0</v>
      </c>
      <c r="F179" s="1636">
        <f t="shared" ref="F179:H179" si="87">F180</f>
        <v>1200</v>
      </c>
      <c r="G179" s="1637" t="str">
        <f t="shared" si="87"/>
        <v>1 200,00</v>
      </c>
      <c r="H179" s="1637">
        <f t="shared" si="87"/>
        <v>1200</v>
      </c>
      <c r="I179" s="1639">
        <f t="shared" si="79"/>
        <v>1</v>
      </c>
      <c r="J179" s="1635">
        <f>J180</f>
        <v>0</v>
      </c>
    </row>
    <row r="180" spans="1:10" x14ac:dyDescent="0.2">
      <c r="A180" s="9"/>
      <c r="B180" s="9"/>
      <c r="C180" s="10" t="s">
        <v>363</v>
      </c>
      <c r="D180" s="11" t="s">
        <v>364</v>
      </c>
      <c r="E180" s="1345">
        <v>0</v>
      </c>
      <c r="F180" s="1343">
        <f t="shared" ref="F180" si="88">G180-E180</f>
        <v>1200</v>
      </c>
      <c r="G180" s="1351" t="s">
        <v>487</v>
      </c>
      <c r="H180" s="1352">
        <v>1200</v>
      </c>
      <c r="I180" s="1348">
        <f t="shared" si="79"/>
        <v>1</v>
      </c>
      <c r="J180" s="1344">
        <v>0</v>
      </c>
    </row>
    <row r="181" spans="1:10" ht="15" x14ac:dyDescent="0.2">
      <c r="A181" s="8"/>
      <c r="B181" s="1632" t="s">
        <v>319</v>
      </c>
      <c r="C181" s="1633"/>
      <c r="D181" s="1634" t="s">
        <v>320</v>
      </c>
      <c r="E181" s="1635">
        <f>E182+E183+E184</f>
        <v>5393</v>
      </c>
      <c r="F181" s="1636">
        <f t="shared" ref="F181:H181" si="89">F182+F183+F184</f>
        <v>0</v>
      </c>
      <c r="G181" s="1637">
        <f t="shared" si="89"/>
        <v>5393</v>
      </c>
      <c r="H181" s="1637">
        <f t="shared" si="89"/>
        <v>4752</v>
      </c>
      <c r="I181" s="1639">
        <f t="shared" si="79"/>
        <v>0.8811422213981086</v>
      </c>
      <c r="J181" s="1635">
        <f>J182+J183+J184</f>
        <v>0</v>
      </c>
    </row>
    <row r="182" spans="1:10" x14ac:dyDescent="0.2">
      <c r="A182" s="9"/>
      <c r="B182" s="9"/>
      <c r="C182" s="10" t="s">
        <v>345</v>
      </c>
      <c r="D182" s="11" t="s">
        <v>346</v>
      </c>
      <c r="E182" s="1345">
        <v>344</v>
      </c>
      <c r="F182" s="1343">
        <f t="shared" ref="F182:F184" si="90">G182-E182</f>
        <v>0</v>
      </c>
      <c r="G182" s="1351" t="s">
        <v>890</v>
      </c>
      <c r="H182" s="1352">
        <v>0</v>
      </c>
      <c r="I182" s="1348">
        <f t="shared" si="79"/>
        <v>0</v>
      </c>
      <c r="J182" s="1344">
        <v>0</v>
      </c>
    </row>
    <row r="183" spans="1:10" x14ac:dyDescent="0.2">
      <c r="A183" s="9"/>
      <c r="B183" s="9"/>
      <c r="C183" s="10" t="s">
        <v>348</v>
      </c>
      <c r="D183" s="11" t="s">
        <v>349</v>
      </c>
      <c r="E183" s="1345">
        <v>49</v>
      </c>
      <c r="F183" s="1343">
        <f t="shared" si="90"/>
        <v>0</v>
      </c>
      <c r="G183" s="1351" t="s">
        <v>891</v>
      </c>
      <c r="H183" s="1352">
        <v>0</v>
      </c>
      <c r="I183" s="1348">
        <f t="shared" si="79"/>
        <v>0</v>
      </c>
      <c r="J183" s="1344">
        <v>0</v>
      </c>
    </row>
    <row r="184" spans="1:10" x14ac:dyDescent="0.2">
      <c r="A184" s="9"/>
      <c r="B184" s="9"/>
      <c r="C184" s="10" t="s">
        <v>363</v>
      </c>
      <c r="D184" s="11" t="s">
        <v>364</v>
      </c>
      <c r="E184" s="1345">
        <v>5000</v>
      </c>
      <c r="F184" s="1343">
        <f t="shared" si="90"/>
        <v>0</v>
      </c>
      <c r="G184" s="1351" t="s">
        <v>588</v>
      </c>
      <c r="H184" s="1352">
        <v>4752</v>
      </c>
      <c r="I184" s="1348">
        <f t="shared" si="79"/>
        <v>0.95040000000000002</v>
      </c>
      <c r="J184" s="1344">
        <v>0</v>
      </c>
    </row>
    <row r="185" spans="1:10" ht="15" x14ac:dyDescent="0.2">
      <c r="A185" s="8"/>
      <c r="B185" s="1632" t="s">
        <v>914</v>
      </c>
      <c r="C185" s="1633"/>
      <c r="D185" s="1634" t="s">
        <v>14</v>
      </c>
      <c r="E185" s="1635">
        <f>E186</f>
        <v>1700</v>
      </c>
      <c r="F185" s="1636">
        <f t="shared" ref="F185:H185" si="91">F186</f>
        <v>0</v>
      </c>
      <c r="G185" s="1637" t="str">
        <f t="shared" si="91"/>
        <v>1 700,00</v>
      </c>
      <c r="H185" s="1637">
        <f t="shared" si="91"/>
        <v>1700</v>
      </c>
      <c r="I185" s="1639">
        <f t="shared" ref="I185:I195" si="92">H185/G185</f>
        <v>1</v>
      </c>
      <c r="J185" s="1635">
        <f>J186</f>
        <v>0</v>
      </c>
    </row>
    <row r="186" spans="1:10" x14ac:dyDescent="0.2">
      <c r="A186" s="9"/>
      <c r="B186" s="9"/>
      <c r="C186" s="10" t="s">
        <v>363</v>
      </c>
      <c r="D186" s="11" t="s">
        <v>364</v>
      </c>
      <c r="E186" s="1345">
        <v>1700</v>
      </c>
      <c r="F186" s="1343">
        <f>G186-E186</f>
        <v>0</v>
      </c>
      <c r="G186" s="1351" t="s">
        <v>758</v>
      </c>
      <c r="H186" s="1352">
        <v>1700</v>
      </c>
      <c r="I186" s="1348">
        <f t="shared" si="92"/>
        <v>1</v>
      </c>
      <c r="J186" s="1344">
        <v>0</v>
      </c>
    </row>
    <row r="187" spans="1:10" x14ac:dyDescent="0.2">
      <c r="A187" s="1640" t="s">
        <v>321</v>
      </c>
      <c r="B187" s="1640"/>
      <c r="C187" s="1640"/>
      <c r="D187" s="1641" t="s">
        <v>322</v>
      </c>
      <c r="E187" s="1642">
        <f>E188+E192</f>
        <v>101977</v>
      </c>
      <c r="F187" s="1643">
        <f>F188+F192</f>
        <v>-10000</v>
      </c>
      <c r="G187" s="1644">
        <f>G188+G192</f>
        <v>91977</v>
      </c>
      <c r="H187" s="1644">
        <f>H188+H192</f>
        <v>81117.61</v>
      </c>
      <c r="I187" s="1645">
        <f t="shared" si="92"/>
        <v>0.88193363558280879</v>
      </c>
      <c r="J187" s="1642">
        <f>J188+J192</f>
        <v>1771.5500000000002</v>
      </c>
    </row>
    <row r="188" spans="1:10" ht="15" x14ac:dyDescent="0.2">
      <c r="A188" s="8"/>
      <c r="B188" s="1632" t="s">
        <v>323</v>
      </c>
      <c r="C188" s="1633"/>
      <c r="D188" s="1634" t="s">
        <v>324</v>
      </c>
      <c r="E188" s="1635">
        <f>E189+E190+E191</f>
        <v>64557</v>
      </c>
      <c r="F188" s="1636">
        <f t="shared" ref="F188:H188" si="93">F189+F190+F191</f>
        <v>0</v>
      </c>
      <c r="G188" s="1637">
        <f t="shared" si="93"/>
        <v>64557</v>
      </c>
      <c r="H188" s="1637">
        <f t="shared" si="93"/>
        <v>63735.4</v>
      </c>
      <c r="I188" s="1639">
        <f t="shared" si="92"/>
        <v>0.98727326238827706</v>
      </c>
      <c r="J188" s="1635">
        <f>J189+J190+J191</f>
        <v>1771.5500000000002</v>
      </c>
    </row>
    <row r="189" spans="1:10" x14ac:dyDescent="0.2">
      <c r="A189" s="9"/>
      <c r="B189" s="9"/>
      <c r="C189" s="10" t="s">
        <v>345</v>
      </c>
      <c r="D189" s="11" t="s">
        <v>346</v>
      </c>
      <c r="E189" s="1345">
        <v>9234</v>
      </c>
      <c r="F189" s="1343">
        <f>G189-E189</f>
        <v>-500</v>
      </c>
      <c r="G189" s="1351" t="s">
        <v>917</v>
      </c>
      <c r="H189" s="1352">
        <v>8732.0400000000009</v>
      </c>
      <c r="I189" s="1348">
        <f t="shared" si="92"/>
        <v>0.99977558964964519</v>
      </c>
      <c r="J189" s="1344">
        <v>757.57</v>
      </c>
    </row>
    <row r="190" spans="1:10" x14ac:dyDescent="0.2">
      <c r="A190" s="9"/>
      <c r="B190" s="9"/>
      <c r="C190" s="10" t="s">
        <v>348</v>
      </c>
      <c r="D190" s="11" t="s">
        <v>349</v>
      </c>
      <c r="E190" s="1345">
        <v>1323</v>
      </c>
      <c r="F190" s="1343">
        <f t="shared" ref="F190:F191" si="94">G190-E190</f>
        <v>-500</v>
      </c>
      <c r="G190" s="1351" t="s">
        <v>918</v>
      </c>
      <c r="H190" s="1352">
        <v>745.82</v>
      </c>
      <c r="I190" s="1348">
        <f t="shared" si="92"/>
        <v>0.90622114216281902</v>
      </c>
      <c r="J190" s="1344">
        <v>67.52</v>
      </c>
    </row>
    <row r="191" spans="1:10" x14ac:dyDescent="0.2">
      <c r="A191" s="9"/>
      <c r="B191" s="9"/>
      <c r="C191" s="10" t="s">
        <v>363</v>
      </c>
      <c r="D191" s="11" t="s">
        <v>364</v>
      </c>
      <c r="E191" s="1345">
        <v>54000</v>
      </c>
      <c r="F191" s="1343">
        <f t="shared" si="94"/>
        <v>1000</v>
      </c>
      <c r="G191" s="1351" t="s">
        <v>919</v>
      </c>
      <c r="H191" s="1352">
        <v>54257.54</v>
      </c>
      <c r="I191" s="1348">
        <f t="shared" si="92"/>
        <v>0.98650072727272731</v>
      </c>
      <c r="J191" s="1344">
        <v>946.46</v>
      </c>
    </row>
    <row r="192" spans="1:10" ht="15" x14ac:dyDescent="0.2">
      <c r="A192" s="8"/>
      <c r="B192" s="1632" t="s">
        <v>325</v>
      </c>
      <c r="C192" s="1633"/>
      <c r="D192" s="1634" t="s">
        <v>14</v>
      </c>
      <c r="E192" s="1635">
        <f>E193+E194</f>
        <v>37420</v>
      </c>
      <c r="F192" s="1636">
        <f t="shared" ref="F192:H192" si="95">F193+F194</f>
        <v>-10000</v>
      </c>
      <c r="G192" s="1637">
        <f t="shared" si="95"/>
        <v>27420</v>
      </c>
      <c r="H192" s="1637">
        <f t="shared" si="95"/>
        <v>17382.21</v>
      </c>
      <c r="I192" s="1639">
        <f t="shared" si="92"/>
        <v>0.63392450765864328</v>
      </c>
      <c r="J192" s="1635">
        <f>J193+J194</f>
        <v>0</v>
      </c>
    </row>
    <row r="193" spans="1:11" x14ac:dyDescent="0.2">
      <c r="A193" s="9"/>
      <c r="B193" s="9"/>
      <c r="C193" s="10" t="s">
        <v>345</v>
      </c>
      <c r="D193" s="11" t="s">
        <v>346</v>
      </c>
      <c r="E193" s="1345">
        <v>7500</v>
      </c>
      <c r="F193" s="1343">
        <f t="shared" ref="F193:F194" si="96">G193-E193</f>
        <v>-7000</v>
      </c>
      <c r="G193" s="1351" t="s">
        <v>255</v>
      </c>
      <c r="H193" s="1352">
        <v>215.21</v>
      </c>
      <c r="I193" s="1348">
        <f t="shared" si="92"/>
        <v>0.43042000000000002</v>
      </c>
      <c r="J193" s="1344">
        <v>0</v>
      </c>
    </row>
    <row r="194" spans="1:11" ht="13.5" thickBot="1" x14ac:dyDescent="0.25">
      <c r="A194" s="9"/>
      <c r="B194" s="9"/>
      <c r="C194" s="10" t="s">
        <v>363</v>
      </c>
      <c r="D194" s="11" t="s">
        <v>364</v>
      </c>
      <c r="E194" s="1345">
        <v>29920</v>
      </c>
      <c r="F194" s="1343">
        <f t="shared" si="96"/>
        <v>-3000</v>
      </c>
      <c r="G194" s="1351" t="s">
        <v>929</v>
      </c>
      <c r="H194" s="1352">
        <v>17167</v>
      </c>
      <c r="I194" s="1348">
        <f t="shared" si="92"/>
        <v>0.63770430906389297</v>
      </c>
      <c r="J194" s="1344">
        <v>0</v>
      </c>
    </row>
    <row r="195" spans="1:11" ht="17.100000000000001" customHeight="1" thickBot="1" x14ac:dyDescent="0.25">
      <c r="A195" s="1844" t="s">
        <v>328</v>
      </c>
      <c r="B195" s="1844"/>
      <c r="C195" s="1844"/>
      <c r="D195" s="1844"/>
      <c r="E195" s="1490">
        <f>E187+E178+E160+E135+E129+E120+E110+E103+E53+E48+E43+E16+E13+E9+E4</f>
        <v>22392100.48</v>
      </c>
      <c r="F195" s="1491">
        <f>F187+F178+F160+F135+F129+F120+F110+F103+F53+F48+F43+F16+F13+F9+F4</f>
        <v>551541.65999999992</v>
      </c>
      <c r="G195" s="1492">
        <f>G187+G178+G160+G135+G129+G120+G110+G103+G53+G48+G43+G16+G13+G9+G4</f>
        <v>22943642.139999997</v>
      </c>
      <c r="H195" s="1492">
        <f>H187+H178+H160+H135+H129+H120+H110+H103+H53+H48+H43+H16+H13+H9+H4</f>
        <v>22498057.93</v>
      </c>
      <c r="I195" s="1493">
        <f t="shared" si="92"/>
        <v>0.98057918584673331</v>
      </c>
      <c r="J195" s="1490">
        <f>J187+J178+J160+J135+J129+J120+J110+J103+J53+J48+J43+J16+J13+J9+J4</f>
        <v>2115060.1700000004</v>
      </c>
    </row>
    <row r="196" spans="1:11" x14ac:dyDescent="0.2">
      <c r="D196" s="1353" t="s">
        <v>1252</v>
      </c>
      <c r="E196" s="1359"/>
      <c r="F196" s="1359"/>
      <c r="G196" s="1359"/>
      <c r="H196" s="1359"/>
      <c r="I196" s="1359"/>
      <c r="J196" s="1359"/>
    </row>
    <row r="197" spans="1:11" ht="24.75" customHeight="1" x14ac:dyDescent="0.2">
      <c r="C197" s="1692"/>
      <c r="D197" s="1696" t="s">
        <v>1526</v>
      </c>
      <c r="E197" s="1697">
        <f>E194+E193+E191+E190+E189+E186+E184+E183+E182+E180+E177+E176+E175+E173+E172+E171+E169+E167+E166+E165+E164+E162+E159+E158+E157+E155+E154+E153+E152+E150+E149+E148+E146+E145+E144+E143+E141+E140+E139+E138+E137+E134+E133+E132+E131+E119+E118+E116+E115+E114+E113+E112+E109+E108+E107+E105+E95+E94+E93+E92+E90+E89+E88+E87+E85+E84+E83+E82+E81+E79+E77+E76+E75+E74+E73+E71+E70+E69+E68+E67+E65+E64+E63+E62+E61+E59+E58+E57+E56+E55+E52+E51+E50+E47+E46+E45+E42+E40+E39+E38+E37+E36+E34+E32+E29+E26+E25+E22+E20+E19+E18+E15+E12+E11+E8+E7+E6</f>
        <v>22381675.280000005</v>
      </c>
      <c r="F197" s="1698">
        <f>F194+F193+F191+F190+F189+F186+F184+F183+F182+F180+F177+F176+F175+F173+F172+F171+F169+F167+F166+F165+F164+F162+F159+F158+F157+F155+F154+F153+F152+F150+F149+F148+F146+F145+F144+F143+F141+F140+F139+F138+F137+F134+F133+F132+F131+F119+F118+F116+F115+F114+F113+F112+F109+F108+F107+F105+F95+F94+F93+F92+F90+F89+F88+F87+F85+F84+F83+F82+F81+F79+F77+F76+F75+F74+F73+F71+F70+F69+F68+F67+F65+F64+F63+F62+F61+F59+F58+F57+F56+F55+F52+F51+F50+F47+F46+F45+F42+F40+F39+F38+F37+F36+F34+F32+F29+F26+F25+F22+F20+F19+F18+F15+F12+F11+F8+F7+F6</f>
        <v>265431.30999999982</v>
      </c>
      <c r="G197" s="1699">
        <f>G194+G193+G191+G190+G189+G186+G184+G183+G182+G180+G177+G176+G175+G173+G172+G171+G169+G167+G166+G165+G164+G162+G159+G158+G157+G155+G154+G153+G152+G150+G149+G148+G146+G145+G144+G143+G141+G140+G139+G138+G137+G134+G133+G132+G131+G119+G118+G116+G115+G114+G113+G112+G109+G108+G107+G105+G95+G94+G93+G92+G90+G89+G88+G87+G85+G84+G83+G82+G81+G79+G77+G76+G75+G74+G73+G71+G70+G69+G68+G67+G65+G64+G63+G62+G61+G59+G58+G57+G56+G55+G52+G51+G50+G47+G46+G45+G42+G40+G39+G38+G37+G36+G34+G32+G29+G26+G25+G22+G20+G19+G18+G15+G12+G11+G8+G7+G6</f>
        <v>22647106.59</v>
      </c>
      <c r="H197" s="1699">
        <f>H194+H193+H191+H190+H189+H186+H184+H183+H182+H180+H177+H176+H175+H173+H172+H171+H169+H167+H166+H165+H164+H162+H159+H158+H157+H155+H154+H153+H152+H150+H149+H148+H146+H145+H144+H143+H141+H140+H139+H138+H137+H134+H133+H132+H131+H119+H118+H116+H115+H114+H113+H112+H109+H108+H107+H105+H95+H94+H93+H92+H90+H89+H88+H87+H85+H84+H83+H82+H81+H79+H77+H76+H75+H74+H73+H71+H70+H69+H68+H67+H65+H64+H63+H62+H61+H59+H58+H57+H56+H55+H52+H51+H50+H47+H46+H45+H42+H40+H39+H38+H37+H36+H34+H32+H29+H26+H25+H22+H20+H19+H18+H15+H12+H11+H8+H7+H6</f>
        <v>22309755.479999997</v>
      </c>
      <c r="I197" s="1700">
        <f t="shared" ref="I197" si="97">H197/G197</f>
        <v>0.98510400837920009</v>
      </c>
      <c r="J197" s="1697">
        <f>J194+J193+J191+J190+J189+J186+J184+J183+J182+J180+J177+J176+J175+J173+J172+J171+J169+J167+J166+J165+J164+J162+J159+J158+J157+J155+J154+J153+J152+J150+J149+J148+J146+J145+J144+J143+J141+J140+J139+J138+J137+J134+J133+J132+J131+J119+J118+J116+J115+J114+J113+J112+J109+J108+J107+J105+J95+J94+J93+J92+J90+J89+J88+J87+J85+J84+J83+J82+J81+J79+J77+J76+J75+J74+J73+J71+J70+J69+J68+J67+J65+J64+J63+J62+J61+J59+J58+J57+J56+J55+J52+J51+J50+J47+J46+J45+J42+J40+J39+J38+J37+J36+J34+J32+J29+J26+J25+J22+J20+J19+J18+J15+J12+J11+J8+J7+J6</f>
        <v>2105650.77</v>
      </c>
    </row>
    <row r="198" spans="1:11" ht="24.75" customHeight="1" x14ac:dyDescent="0.2">
      <c r="C198" s="1693"/>
      <c r="D198" s="1703" t="s">
        <v>1494</v>
      </c>
      <c r="E198" s="1704"/>
      <c r="F198" s="1707"/>
      <c r="G198" s="1709"/>
      <c r="H198" s="1709"/>
      <c r="I198" s="1705"/>
      <c r="J198" s="1704"/>
    </row>
    <row r="199" spans="1:11" ht="24.75" customHeight="1" x14ac:dyDescent="0.2">
      <c r="C199" s="1693"/>
      <c r="D199" s="1706" t="s">
        <v>1527</v>
      </c>
      <c r="E199" s="1704">
        <f>E156+E151+E147+E142+E136+E117+E111</f>
        <v>1889874</v>
      </c>
      <c r="F199" s="1707">
        <f>F156+F151+F147+F142+F136+F117+F111</f>
        <v>-74856.059999999969</v>
      </c>
      <c r="G199" s="1709">
        <f>G156+G151+G147+G142+G136+G117+G111</f>
        <v>1815017.94</v>
      </c>
      <c r="H199" s="1709">
        <f>H156+H151+H147+H142+H136+H117+H111</f>
        <v>1769884.78</v>
      </c>
      <c r="I199" s="1705">
        <f>H199/G199</f>
        <v>0.97513349096703694</v>
      </c>
      <c r="J199" s="1704">
        <f>J156+J151+J147+J142+J136+J117+J111</f>
        <v>104276.70000000001</v>
      </c>
    </row>
    <row r="200" spans="1:11" ht="24.75" customHeight="1" x14ac:dyDescent="0.2">
      <c r="C200" s="1693"/>
      <c r="D200" s="1706" t="s">
        <v>1529</v>
      </c>
      <c r="E200" s="1704">
        <f>E130+E91+E86+E80+E78+E72+E66+E60+E54+E35</f>
        <v>16704856</v>
      </c>
      <c r="F200" s="1707">
        <f>F130+F91+F86+F80+F78+F72+F66+F60+F54+F35</f>
        <v>302449.25999999989</v>
      </c>
      <c r="G200" s="1709">
        <f>G130+G91+G86+G80+G78+G72+G66+G60+G54+G35</f>
        <v>17007305.259999998</v>
      </c>
      <c r="H200" s="1709">
        <f>H130+H91+H86+H80+H78+H72+H66+H60+H54+H35</f>
        <v>16965820.41</v>
      </c>
      <c r="I200" s="1705">
        <f t="shared" ref="I200:I202" si="98">H200/G200</f>
        <v>0.99756076289771978</v>
      </c>
      <c r="J200" s="1704">
        <f>J130+J91+J86+J80+J78+J72+J66+J60+J54+J35</f>
        <v>1761070.9900000002</v>
      </c>
    </row>
    <row r="201" spans="1:11" ht="24.75" customHeight="1" x14ac:dyDescent="0.2">
      <c r="C201" s="1693"/>
      <c r="D201" s="1706" t="s">
        <v>1530</v>
      </c>
      <c r="E201" s="1704">
        <f>E163+E44+E22+E25+E26+E29+E32+E17+E41+E33</f>
        <v>3439744.8000000003</v>
      </c>
      <c r="F201" s="1707">
        <f>F163+F44+F22+F25+F26+F29+F32+F17+F41+F33</f>
        <v>10003.180000000022</v>
      </c>
      <c r="G201" s="1709">
        <f>G163+G44+G22+G25+G26+G29+G32+G17+G41+G33</f>
        <v>3449747.9800000004</v>
      </c>
      <c r="H201" s="1709">
        <f>H163+H44+H22+H25+H26+H29+H32+H17+H41+H33</f>
        <v>3250772.6700000004</v>
      </c>
      <c r="I201" s="1705">
        <f t="shared" si="98"/>
        <v>0.942321783749548</v>
      </c>
      <c r="J201" s="1704">
        <f>J163+J44+J22+J25+J26+J29+J32+J17+J41+J33</f>
        <v>238531.53</v>
      </c>
    </row>
    <row r="202" spans="1:11" ht="24.75" customHeight="1" x14ac:dyDescent="0.2">
      <c r="C202" s="1693"/>
      <c r="D202" s="1694" t="s">
        <v>1528</v>
      </c>
      <c r="E202" s="1695">
        <f>E192+E188+E185+E181+E179+E174+E170+E168+E161+E106+E104+E49+E15+E10+E5</f>
        <v>347200.48</v>
      </c>
      <c r="F202" s="1708">
        <f>F192+F188+F185+F181+F179+F174+F170+F168+F161+F106+F104+F49+F15+F10+F5</f>
        <v>27834.93</v>
      </c>
      <c r="G202" s="1710">
        <f>G192+G188+G185+G181+G179+G174+G170+G168+G161+G106+G104+G49+G15+G10+G5</f>
        <v>375035.41</v>
      </c>
      <c r="H202" s="1710">
        <f>H192+H188+H185+H181+H179+H174+H170+H168+H161+H106+H104+H49+H15+H10+H5</f>
        <v>323277.62</v>
      </c>
      <c r="I202" s="1705">
        <f t="shared" si="98"/>
        <v>0.86199225827769177</v>
      </c>
      <c r="J202" s="1695">
        <f>J192+J188+J185+J181+J179+J174+J170+J168+J161+J106+J104+J49+J15+J10+J5</f>
        <v>1771.5500000000002</v>
      </c>
    </row>
    <row r="203" spans="1:11" ht="45" x14ac:dyDescent="0.2">
      <c r="C203" s="1357"/>
      <c r="D203" s="1701" t="s">
        <v>1525</v>
      </c>
      <c r="E203" s="1702">
        <f>E128+E127+E126+E125+E124+E123+E122+E102+E101+E100+E99+E98+E97+E31+E30+E28+E27+E24+E23</f>
        <v>10425.200000000001</v>
      </c>
      <c r="F203" s="1702">
        <f t="shared" ref="F203:J203" si="99">F128+F127+F126+F125+F124+F123+F122+F102+F101+F100+F99+F98+F97+F31+F30+F28+F27+F24+F23</f>
        <v>286110.34999999998</v>
      </c>
      <c r="G203" s="1702">
        <f t="shared" si="99"/>
        <v>296535.55</v>
      </c>
      <c r="H203" s="1702">
        <f t="shared" si="99"/>
        <v>188302.44999999998</v>
      </c>
      <c r="I203" s="1769">
        <f>H203/G203</f>
        <v>0.63500801168696297</v>
      </c>
      <c r="J203" s="1702">
        <f t="shared" si="99"/>
        <v>9409.4</v>
      </c>
      <c r="K203" s="1354"/>
    </row>
    <row r="204" spans="1:11" x14ac:dyDescent="0.2">
      <c r="C204" s="1357"/>
      <c r="D204" s="1580"/>
      <c r="E204" s="1356"/>
      <c r="F204" s="1356"/>
      <c r="G204" s="1356"/>
      <c r="H204" s="1356"/>
      <c r="I204" s="1356"/>
      <c r="J204" s="1356"/>
      <c r="K204" s="1354"/>
    </row>
    <row r="205" spans="1:11" x14ac:dyDescent="0.2">
      <c r="C205" s="1357"/>
      <c r="D205" s="1356"/>
      <c r="E205" s="1356"/>
      <c r="F205" s="1356"/>
      <c r="G205" s="1356"/>
      <c r="H205" s="1356"/>
      <c r="I205" s="1356"/>
      <c r="J205" s="1356"/>
      <c r="K205" s="1354"/>
    </row>
    <row r="206" spans="1:11" x14ac:dyDescent="0.2">
      <c r="C206" s="1357"/>
      <c r="D206" s="1356"/>
      <c r="E206" s="1356"/>
      <c r="F206" s="1356"/>
      <c r="G206" s="1356"/>
      <c r="H206" s="1356"/>
      <c r="I206" s="1356"/>
      <c r="J206" s="1356"/>
      <c r="K206" s="1354"/>
    </row>
    <row r="207" spans="1:11" x14ac:dyDescent="0.2">
      <c r="C207" s="1357"/>
      <c r="D207" s="1356"/>
      <c r="E207" s="1356"/>
      <c r="F207" s="1356"/>
      <c r="G207" s="1356"/>
      <c r="H207" s="1356"/>
      <c r="I207" s="1356"/>
      <c r="J207" s="1356"/>
      <c r="K207" s="1354"/>
    </row>
    <row r="208" spans="1:11" x14ac:dyDescent="0.2">
      <c r="D208" s="1354"/>
      <c r="E208" s="1354"/>
      <c r="F208" s="1354"/>
      <c r="G208" s="1354"/>
      <c r="H208" s="1354"/>
      <c r="I208" s="1354"/>
      <c r="J208" s="1354"/>
      <c r="K208" s="1354"/>
    </row>
    <row r="209" spans="4:11" x14ac:dyDescent="0.2">
      <c r="D209" s="1354"/>
      <c r="E209" s="1354"/>
      <c r="F209" s="1354"/>
      <c r="G209" s="1354"/>
      <c r="H209" s="1354"/>
      <c r="I209" s="1354"/>
      <c r="J209" s="1354"/>
      <c r="K209" s="1354"/>
    </row>
  </sheetData>
  <mergeCells count="3">
    <mergeCell ref="A1:G1"/>
    <mergeCell ref="A2:J2"/>
    <mergeCell ref="A195:D195"/>
  </mergeCells>
  <pageMargins left="0.74803149606299213" right="0" top="0.78740157480314965" bottom="0.39370078740157483" header="0.31496062992125984" footer="0.11811023622047245"/>
  <pageSetup paperSize="9" orientation="landscape" r:id="rId1"/>
  <headerFooter>
    <oddFooter>Strona &amp;P z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9"/>
  <sheetViews>
    <sheetView tabSelected="1" topLeftCell="A36" workbookViewId="0">
      <selection activeCell="G68" sqref="G68"/>
    </sheetView>
  </sheetViews>
  <sheetFormatPr defaultRowHeight="12.75" x14ac:dyDescent="0.2"/>
  <cols>
    <col min="1" max="1" width="4" style="213" customWidth="1"/>
    <col min="2" max="2" width="6.42578125" style="213" customWidth="1"/>
    <col min="3" max="3" width="6" style="213" customWidth="1"/>
    <col min="4" max="4" width="40.42578125" style="213" customWidth="1"/>
    <col min="5" max="5" width="14" style="213" customWidth="1"/>
    <col min="6" max="6" width="11.42578125" style="213" customWidth="1"/>
    <col min="7" max="7" width="8.42578125" style="213" customWidth="1"/>
    <col min="8" max="8" width="10.5703125" style="213" customWidth="1"/>
    <col min="9" max="9" width="8.85546875" style="213" customWidth="1"/>
    <col min="10" max="16384" width="9.140625" style="213"/>
  </cols>
  <sheetData>
    <row r="1" spans="1:9" hidden="1" x14ac:dyDescent="0.2">
      <c r="D1" s="2011" t="s">
        <v>1359</v>
      </c>
      <c r="E1" s="2011"/>
      <c r="F1" s="2011"/>
      <c r="G1" s="2011"/>
      <c r="H1" s="2011"/>
    </row>
    <row r="2" spans="1:9" ht="15" customHeight="1" x14ac:dyDescent="0.2">
      <c r="E2" s="2047" t="s">
        <v>1542</v>
      </c>
      <c r="F2" s="2047"/>
      <c r="G2" s="2047"/>
      <c r="H2" s="2047"/>
      <c r="I2" s="2047"/>
    </row>
    <row r="3" spans="1:9" ht="15" customHeight="1" x14ac:dyDescent="0.2">
      <c r="F3" s="1334"/>
      <c r="G3" s="1334"/>
      <c r="H3" s="1334"/>
      <c r="I3" s="1334"/>
    </row>
    <row r="4" spans="1:9" ht="30.75" customHeight="1" x14ac:dyDescent="0.2">
      <c r="A4" s="2044" t="s">
        <v>1360</v>
      </c>
      <c r="B4" s="2044"/>
      <c r="C4" s="2044"/>
      <c r="D4" s="2044"/>
      <c r="E4" s="2044"/>
      <c r="F4" s="2044"/>
      <c r="G4" s="2044"/>
      <c r="H4" s="2044"/>
      <c r="I4" s="2044"/>
    </row>
    <row r="5" spans="1:9" ht="17.25" customHeight="1" x14ac:dyDescent="0.2">
      <c r="A5" s="2016" t="s">
        <v>1361</v>
      </c>
      <c r="B5" s="2016"/>
      <c r="C5" s="2016"/>
      <c r="D5" s="2016"/>
      <c r="E5" s="2016"/>
      <c r="F5" s="2016"/>
      <c r="G5" s="2016"/>
      <c r="H5" s="2016"/>
    </row>
    <row r="6" spans="1:9" ht="11.25" customHeight="1" x14ac:dyDescent="0.2">
      <c r="A6" s="690"/>
      <c r="B6" s="690"/>
      <c r="C6" s="690"/>
      <c r="D6" s="690"/>
      <c r="E6" s="690"/>
      <c r="F6" s="214"/>
      <c r="G6" s="214"/>
      <c r="H6" s="214"/>
    </row>
    <row r="7" spans="1:9" ht="20.25" customHeight="1" thickBot="1" x14ac:dyDescent="0.25">
      <c r="A7" s="2016" t="s">
        <v>1093</v>
      </c>
      <c r="B7" s="2016"/>
      <c r="C7" s="2016"/>
      <c r="D7" s="2016"/>
      <c r="E7" s="215"/>
      <c r="F7" s="215"/>
      <c r="G7" s="215"/>
    </row>
    <row r="8" spans="1:9" ht="47.25" customHeight="1" thickBot="1" x14ac:dyDescent="0.25">
      <c r="A8" s="691" t="s">
        <v>0</v>
      </c>
      <c r="B8" s="691" t="s">
        <v>1</v>
      </c>
      <c r="C8" s="691" t="s">
        <v>2</v>
      </c>
      <c r="D8" s="692" t="s">
        <v>3</v>
      </c>
      <c r="E8" s="693" t="s">
        <v>1380</v>
      </c>
      <c r="F8" s="694" t="s">
        <v>1362</v>
      </c>
      <c r="G8" s="841" t="s">
        <v>1357</v>
      </c>
      <c r="H8" s="787" t="s">
        <v>1363</v>
      </c>
      <c r="I8" s="1276" t="s">
        <v>1364</v>
      </c>
    </row>
    <row r="9" spans="1:9" ht="21" customHeight="1" x14ac:dyDescent="0.2">
      <c r="A9" s="769">
        <v>900</v>
      </c>
      <c r="B9" s="780"/>
      <c r="C9" s="780"/>
      <c r="D9" s="775" t="s">
        <v>309</v>
      </c>
      <c r="E9" s="768">
        <f>E10</f>
        <v>1824276</v>
      </c>
      <c r="F9" s="781">
        <f t="shared" ref="F9:I9" si="0">F10</f>
        <v>1938906.2</v>
      </c>
      <c r="G9" s="842">
        <f>F9/E9</f>
        <v>1.0628359963075762</v>
      </c>
      <c r="H9" s="788">
        <f t="shared" si="0"/>
        <v>302057.48</v>
      </c>
      <c r="I9" s="783">
        <f t="shared" si="0"/>
        <v>16155.4</v>
      </c>
    </row>
    <row r="10" spans="1:9" x14ac:dyDescent="0.2">
      <c r="A10" s="696"/>
      <c r="B10" s="224">
        <v>90002</v>
      </c>
      <c r="C10" s="224"/>
      <c r="D10" s="225" t="s">
        <v>311</v>
      </c>
      <c r="E10" s="226">
        <f>E11+E12+E13</f>
        <v>1824276</v>
      </c>
      <c r="F10" s="697">
        <f t="shared" ref="F10:I10" si="1">F11+F12+F13</f>
        <v>1938906.2</v>
      </c>
      <c r="G10" s="843">
        <f>F10/E10</f>
        <v>1.0628359963075762</v>
      </c>
      <c r="H10" s="789">
        <f t="shared" si="1"/>
        <v>302057.48</v>
      </c>
      <c r="I10" s="784">
        <f t="shared" si="1"/>
        <v>16155.4</v>
      </c>
    </row>
    <row r="11" spans="1:9" ht="36" x14ac:dyDescent="0.2">
      <c r="A11" s="698"/>
      <c r="B11" s="268"/>
      <c r="C11" s="703" t="s">
        <v>32</v>
      </c>
      <c r="D11" s="734" t="s">
        <v>1365</v>
      </c>
      <c r="E11" s="735">
        <v>1820276</v>
      </c>
      <c r="F11" s="701">
        <v>1902244.65</v>
      </c>
      <c r="G11" s="702">
        <f>F11/E11</f>
        <v>1.0450308909198385</v>
      </c>
      <c r="H11" s="790">
        <v>302057.48</v>
      </c>
      <c r="I11" s="785">
        <v>16155.4</v>
      </c>
    </row>
    <row r="12" spans="1:9" x14ac:dyDescent="0.2">
      <c r="A12" s="698"/>
      <c r="B12" s="268"/>
      <c r="C12" s="703" t="s">
        <v>25</v>
      </c>
      <c r="D12" s="704" t="s">
        <v>26</v>
      </c>
      <c r="E12" s="231">
        <v>4000</v>
      </c>
      <c r="F12" s="701">
        <v>18099.5</v>
      </c>
      <c r="G12" s="702">
        <f t="shared" ref="G12" si="2">F12/E12</f>
        <v>4.5248749999999998</v>
      </c>
      <c r="H12" s="790">
        <v>0</v>
      </c>
      <c r="I12" s="785">
        <v>0</v>
      </c>
    </row>
    <row r="13" spans="1:9" ht="24.75" thickBot="1" x14ac:dyDescent="0.25">
      <c r="A13" s="698"/>
      <c r="B13" s="268"/>
      <c r="C13" s="703" t="s">
        <v>51</v>
      </c>
      <c r="D13" s="734" t="s">
        <v>1366</v>
      </c>
      <c r="E13" s="735">
        <v>0</v>
      </c>
      <c r="F13" s="701">
        <v>18562.05</v>
      </c>
      <c r="G13" s="702">
        <v>0</v>
      </c>
      <c r="H13" s="790">
        <v>0</v>
      </c>
      <c r="I13" s="785">
        <v>0</v>
      </c>
    </row>
    <row r="14" spans="1:9" ht="21" customHeight="1" thickBot="1" x14ac:dyDescent="0.3">
      <c r="A14" s="706"/>
      <c r="B14" s="776"/>
      <c r="C14" s="777"/>
      <c r="D14" s="778" t="s">
        <v>1083</v>
      </c>
      <c r="E14" s="779">
        <f>E9</f>
        <v>1824276</v>
      </c>
      <c r="F14" s="782">
        <f t="shared" ref="F14:I14" si="3">F9</f>
        <v>1938906.2</v>
      </c>
      <c r="G14" s="844">
        <f t="shared" si="3"/>
        <v>1.0628359963075762</v>
      </c>
      <c r="H14" s="791">
        <f t="shared" si="3"/>
        <v>302057.48</v>
      </c>
      <c r="I14" s="786">
        <f t="shared" si="3"/>
        <v>16155.4</v>
      </c>
    </row>
    <row r="15" spans="1:9" ht="20.25" customHeight="1" thickBot="1" x14ac:dyDescent="0.25">
      <c r="A15" s="2045" t="s">
        <v>1095</v>
      </c>
      <c r="B15" s="2045"/>
      <c r="C15" s="2045"/>
      <c r="D15" s="2045"/>
      <c r="E15" s="236"/>
      <c r="F15" s="2046"/>
      <c r="G15" s="2045"/>
      <c r="H15" s="2045"/>
    </row>
    <row r="16" spans="1:9" ht="42" customHeight="1" thickBot="1" x14ac:dyDescent="0.25">
      <c r="A16" s="793" t="s">
        <v>0</v>
      </c>
      <c r="B16" s="691" t="s">
        <v>1</v>
      </c>
      <c r="C16" s="691" t="s">
        <v>2</v>
      </c>
      <c r="D16" s="692" t="s">
        <v>3</v>
      </c>
      <c r="E16" s="709" t="s">
        <v>1367</v>
      </c>
      <c r="F16" s="710" t="s">
        <v>1362</v>
      </c>
      <c r="G16" s="695" t="s">
        <v>1357</v>
      </c>
      <c r="H16" s="711" t="s">
        <v>1368</v>
      </c>
      <c r="I16" s="817"/>
    </row>
    <row r="17" spans="1:9" ht="25.5" x14ac:dyDescent="0.2">
      <c r="A17" s="769">
        <v>900</v>
      </c>
      <c r="B17" s="1690"/>
      <c r="C17" s="770"/>
      <c r="D17" s="771" t="s">
        <v>309</v>
      </c>
      <c r="E17" s="767">
        <f>E18</f>
        <v>1882908.1800000002</v>
      </c>
      <c r="F17" s="772">
        <f>F18</f>
        <v>1865402.4417168174</v>
      </c>
      <c r="G17" s="773">
        <f>F17/E17</f>
        <v>0.99070281893236944</v>
      </c>
      <c r="H17" s="774">
        <f>H18</f>
        <v>13913.58</v>
      </c>
      <c r="I17" s="827"/>
    </row>
    <row r="18" spans="1:9" x14ac:dyDescent="0.2">
      <c r="A18" s="712"/>
      <c r="B18" s="224">
        <v>90002</v>
      </c>
      <c r="C18" s="224"/>
      <c r="D18" s="242" t="s">
        <v>311</v>
      </c>
      <c r="E18" s="713">
        <f>E19+E20+E27+E28+E36+E43+E50+E57+E60+E58</f>
        <v>1882908.1800000002</v>
      </c>
      <c r="F18" s="713">
        <f>F19+F20+F27+F28+F36+F43+F50+F57+F60+F58</f>
        <v>1865402.4417168174</v>
      </c>
      <c r="G18" s="808">
        <f>F18/E18</f>
        <v>0.99070281893236944</v>
      </c>
      <c r="H18" s="809">
        <f>H19+H20+H27+H28+H36+H43+H50+H57+H58+H60</f>
        <v>13913.58</v>
      </c>
      <c r="I18" s="828"/>
    </row>
    <row r="19" spans="1:9" x14ac:dyDescent="0.2">
      <c r="A19" s="714"/>
      <c r="B19" s="715"/>
      <c r="C19" s="245">
        <v>4210</v>
      </c>
      <c r="D19" s="716" t="s">
        <v>352</v>
      </c>
      <c r="E19" s="717">
        <v>11000</v>
      </c>
      <c r="F19" s="718">
        <v>8135.85</v>
      </c>
      <c r="G19" s="719">
        <f>F19/E19</f>
        <v>0.73962272727272727</v>
      </c>
      <c r="H19" s="720">
        <v>0</v>
      </c>
      <c r="I19" s="818"/>
    </row>
    <row r="20" spans="1:9" x14ac:dyDescent="0.2">
      <c r="A20" s="714"/>
      <c r="B20" s="715"/>
      <c r="C20" s="245">
        <v>4300</v>
      </c>
      <c r="D20" s="699" t="s">
        <v>355</v>
      </c>
      <c r="E20" s="700">
        <f>E22+E23+E25+E26</f>
        <v>1693481.01</v>
      </c>
      <c r="F20" s="721">
        <f>SUM(F22:F26)</f>
        <v>1680278.1400000001</v>
      </c>
      <c r="G20" s="719">
        <f>F20/E20</f>
        <v>0.99220370944696934</v>
      </c>
      <c r="H20" s="720">
        <f>H22+H23+H25</f>
        <v>2750.6</v>
      </c>
      <c r="I20" s="818"/>
    </row>
    <row r="21" spans="1:9" x14ac:dyDescent="0.2">
      <c r="A21" s="714"/>
      <c r="B21" s="2013"/>
      <c r="C21" s="722"/>
      <c r="D21" s="723" t="s">
        <v>1252</v>
      </c>
      <c r="E21" s="724"/>
      <c r="F21" s="725"/>
      <c r="G21" s="719"/>
      <c r="H21" s="726"/>
      <c r="I21" s="696"/>
    </row>
    <row r="22" spans="1:9" x14ac:dyDescent="0.2">
      <c r="A22" s="714"/>
      <c r="B22" s="2013"/>
      <c r="C22" s="727"/>
      <c r="D22" s="728" t="s">
        <v>1369</v>
      </c>
      <c r="E22" s="801">
        <v>1655222.19</v>
      </c>
      <c r="F22" s="729">
        <f>1645222.28+1334.06-245.16</f>
        <v>1646311.1800000002</v>
      </c>
      <c r="G22" s="730">
        <f t="shared" ref="G22:G60" si="4">F22/E22</f>
        <v>0.9946164266925398</v>
      </c>
      <c r="H22" s="731">
        <v>0</v>
      </c>
      <c r="I22" s="819"/>
    </row>
    <row r="23" spans="1:9" x14ac:dyDescent="0.2">
      <c r="A23" s="714"/>
      <c r="B23" s="2013"/>
      <c r="C23" s="727"/>
      <c r="D23" s="728" t="s">
        <v>1370</v>
      </c>
      <c r="E23" s="801">
        <v>31558.82</v>
      </c>
      <c r="F23" s="729">
        <f>26144.6+1861</f>
        <v>28005.599999999999</v>
      </c>
      <c r="G23" s="730">
        <f t="shared" si="4"/>
        <v>0.88740960530209934</v>
      </c>
      <c r="H23" s="732">
        <v>2750.6</v>
      </c>
      <c r="I23" s="820"/>
    </row>
    <row r="24" spans="1:9" hidden="1" x14ac:dyDescent="0.2">
      <c r="A24" s="714"/>
      <c r="B24" s="2013"/>
      <c r="C24" s="727"/>
      <c r="D24" s="728" t="s">
        <v>1371</v>
      </c>
      <c r="E24" s="801">
        <v>0</v>
      </c>
      <c r="F24" s="729"/>
      <c r="G24" s="730" t="e">
        <f t="shared" si="4"/>
        <v>#DIV/0!</v>
      </c>
      <c r="H24" s="732"/>
      <c r="I24" s="820"/>
    </row>
    <row r="25" spans="1:9" ht="24" x14ac:dyDescent="0.2">
      <c r="A25" s="714"/>
      <c r="B25" s="2013"/>
      <c r="C25" s="727"/>
      <c r="D25" s="728" t="s">
        <v>1372</v>
      </c>
      <c r="E25" s="801">
        <v>3100</v>
      </c>
      <c r="F25" s="802">
        <v>3099.16</v>
      </c>
      <c r="G25" s="730">
        <f t="shared" si="4"/>
        <v>0.99972903225806442</v>
      </c>
      <c r="H25" s="732">
        <v>0</v>
      </c>
      <c r="I25" s="820"/>
    </row>
    <row r="26" spans="1:9" x14ac:dyDescent="0.2">
      <c r="A26" s="714"/>
      <c r="B26" s="2013"/>
      <c r="C26" s="727"/>
      <c r="D26" s="728" t="s">
        <v>1387</v>
      </c>
      <c r="E26" s="801">
        <v>3600</v>
      </c>
      <c r="F26" s="729">
        <v>2862.2</v>
      </c>
      <c r="G26" s="730">
        <f t="shared" si="4"/>
        <v>0.79505555555555552</v>
      </c>
      <c r="H26" s="1776">
        <v>0</v>
      </c>
      <c r="I26" s="820"/>
    </row>
    <row r="27" spans="1:9" x14ac:dyDescent="0.2">
      <c r="A27" s="714"/>
      <c r="B27" s="2013"/>
      <c r="C27" s="733" t="s">
        <v>357</v>
      </c>
      <c r="D27" s="734" t="s">
        <v>1373</v>
      </c>
      <c r="E27" s="735">
        <v>200</v>
      </c>
      <c r="F27" s="736">
        <v>0</v>
      </c>
      <c r="G27" s="737">
        <f t="shared" si="4"/>
        <v>0</v>
      </c>
      <c r="H27" s="738">
        <v>0</v>
      </c>
      <c r="I27" s="696"/>
    </row>
    <row r="28" spans="1:9" x14ac:dyDescent="0.2">
      <c r="A28" s="714"/>
      <c r="B28" s="2013"/>
      <c r="C28" s="2056">
        <v>4010</v>
      </c>
      <c r="D28" s="734" t="s">
        <v>343</v>
      </c>
      <c r="E28" s="735">
        <v>135135.35</v>
      </c>
      <c r="F28" s="755">
        <f>SUM(F29:F35)</f>
        <v>135135.35</v>
      </c>
      <c r="G28" s="814">
        <f t="shared" si="4"/>
        <v>1</v>
      </c>
      <c r="H28" s="720">
        <v>0</v>
      </c>
      <c r="I28" s="821"/>
    </row>
    <row r="29" spans="1:9" hidden="1" x14ac:dyDescent="0.2">
      <c r="A29" s="714"/>
      <c r="B29" s="2013"/>
      <c r="C29" s="2057"/>
      <c r="D29" s="739" t="s">
        <v>1392</v>
      </c>
      <c r="E29" s="740"/>
      <c r="F29" s="803">
        <f>12888.79-5834.61</f>
        <v>7054.1800000000012</v>
      </c>
      <c r="G29" s="742"/>
      <c r="H29" s="743"/>
      <c r="I29" s="822"/>
    </row>
    <row r="30" spans="1:9" hidden="1" x14ac:dyDescent="0.2">
      <c r="A30" s="714"/>
      <c r="B30" s="2013"/>
      <c r="C30" s="2057"/>
      <c r="D30" s="739" t="s">
        <v>1390</v>
      </c>
      <c r="E30" s="740"/>
      <c r="F30" s="741">
        <v>0</v>
      </c>
      <c r="G30" s="742"/>
      <c r="H30" s="743"/>
      <c r="I30" s="821"/>
    </row>
    <row r="31" spans="1:9" hidden="1" x14ac:dyDescent="0.2">
      <c r="A31" s="714"/>
      <c r="B31" s="2013"/>
      <c r="C31" s="2057"/>
      <c r="D31" s="739" t="s">
        <v>1374</v>
      </c>
      <c r="E31" s="740"/>
      <c r="F31" s="741">
        <v>34185.480000000003</v>
      </c>
      <c r="G31" s="742"/>
      <c r="H31" s="743"/>
      <c r="I31" s="821"/>
    </row>
    <row r="32" spans="1:9" hidden="1" x14ac:dyDescent="0.2">
      <c r="A32" s="714"/>
      <c r="B32" s="2013"/>
      <c r="C32" s="2057"/>
      <c r="D32" s="739" t="s">
        <v>1388</v>
      </c>
      <c r="E32" s="740"/>
      <c r="F32" s="740">
        <f>33419.2-380</f>
        <v>33039.199999999997</v>
      </c>
      <c r="G32" s="742"/>
      <c r="H32" s="743"/>
      <c r="I32" s="821"/>
    </row>
    <row r="33" spans="1:9" hidden="1" x14ac:dyDescent="0.2">
      <c r="A33" s="714"/>
      <c r="B33" s="2013"/>
      <c r="C33" s="2057"/>
      <c r="D33" s="739" t="s">
        <v>1389</v>
      </c>
      <c r="E33" s="740"/>
      <c r="F33" s="741">
        <v>31761.3</v>
      </c>
      <c r="G33" s="742"/>
      <c r="H33" s="743"/>
      <c r="I33" s="821"/>
    </row>
    <row r="34" spans="1:9" hidden="1" x14ac:dyDescent="0.2">
      <c r="A34" s="714"/>
      <c r="B34" s="2013"/>
      <c r="C34" s="2057"/>
      <c r="D34" s="739" t="s">
        <v>1385</v>
      </c>
      <c r="E34" s="740"/>
      <c r="F34" s="741">
        <v>19888</v>
      </c>
      <c r="G34" s="742"/>
      <c r="H34" s="743"/>
      <c r="I34" s="821"/>
    </row>
    <row r="35" spans="1:9" hidden="1" x14ac:dyDescent="0.2">
      <c r="A35" s="714"/>
      <c r="B35" s="2013"/>
      <c r="C35" s="2058"/>
      <c r="D35" s="739" t="s">
        <v>1386</v>
      </c>
      <c r="E35" s="740"/>
      <c r="F35" s="741">
        <v>9207.19</v>
      </c>
      <c r="G35" s="742"/>
      <c r="H35" s="743"/>
      <c r="I35" s="821"/>
    </row>
    <row r="36" spans="1:9" x14ac:dyDescent="0.2">
      <c r="A36" s="714"/>
      <c r="B36" s="2013"/>
      <c r="C36" s="799" t="s">
        <v>453</v>
      </c>
      <c r="D36" s="744" t="s">
        <v>454</v>
      </c>
      <c r="E36" s="829">
        <v>8687.02</v>
      </c>
      <c r="F36" s="830">
        <f>SUM(F37:F42)</f>
        <v>8687.02</v>
      </c>
      <c r="G36" s="814">
        <f t="shared" si="4"/>
        <v>1</v>
      </c>
      <c r="H36" s="745">
        <v>9391.34</v>
      </c>
      <c r="I36" s="823"/>
    </row>
    <row r="37" spans="1:9" hidden="1" x14ac:dyDescent="0.2">
      <c r="A37" s="714"/>
      <c r="B37" s="2013"/>
      <c r="C37" s="794"/>
      <c r="D37" s="746" t="s">
        <v>1375</v>
      </c>
      <c r="E37" s="747"/>
      <c r="F37" s="748">
        <v>209.95</v>
      </c>
      <c r="G37" s="815"/>
      <c r="H37" s="749"/>
      <c r="I37" s="824"/>
    </row>
    <row r="38" spans="1:9" hidden="1" x14ac:dyDescent="0.2">
      <c r="A38" s="714"/>
      <c r="B38" s="2013"/>
      <c r="C38" s="794"/>
      <c r="D38" s="750" t="s">
        <v>1376</v>
      </c>
      <c r="E38" s="747"/>
      <c r="F38" s="748">
        <v>2530.2399999999998</v>
      </c>
      <c r="G38" s="815"/>
      <c r="H38" s="749"/>
      <c r="I38" s="824"/>
    </row>
    <row r="39" spans="1:9" hidden="1" x14ac:dyDescent="0.2">
      <c r="A39" s="714"/>
      <c r="B39" s="2013"/>
      <c r="C39" s="794"/>
      <c r="D39" s="746" t="s">
        <v>1377</v>
      </c>
      <c r="E39" s="747">
        <v>2301.5500000000002</v>
      </c>
      <c r="F39" s="748">
        <v>2301.5500000000002</v>
      </c>
      <c r="G39" s="815"/>
      <c r="H39" s="749"/>
      <c r="I39" s="824"/>
    </row>
    <row r="40" spans="1:9" hidden="1" x14ac:dyDescent="0.2">
      <c r="A40" s="714"/>
      <c r="B40" s="2013"/>
      <c r="C40" s="794"/>
      <c r="D40" s="746" t="s">
        <v>1391</v>
      </c>
      <c r="E40" s="747"/>
      <c r="F40" s="748">
        <v>1649.14</v>
      </c>
      <c r="G40" s="815"/>
      <c r="H40" s="749"/>
      <c r="I40" s="824"/>
    </row>
    <row r="41" spans="1:9" hidden="1" x14ac:dyDescent="0.2">
      <c r="A41" s="714"/>
      <c r="B41" s="2013"/>
      <c r="C41" s="794"/>
      <c r="D41" s="739" t="s">
        <v>1385</v>
      </c>
      <c r="E41" s="740">
        <v>1996.14</v>
      </c>
      <c r="F41" s="741">
        <v>1996.14</v>
      </c>
      <c r="G41" s="815"/>
      <c r="H41" s="743"/>
      <c r="I41" s="821"/>
    </row>
    <row r="42" spans="1:9" hidden="1" x14ac:dyDescent="0.2">
      <c r="A42" s="714"/>
      <c r="B42" s="2013"/>
      <c r="C42" s="795"/>
      <c r="D42" s="739" t="s">
        <v>1386</v>
      </c>
      <c r="E42" s="740"/>
      <c r="F42" s="741">
        <v>0</v>
      </c>
      <c r="G42" s="815"/>
      <c r="H42" s="743"/>
      <c r="I42" s="821"/>
    </row>
    <row r="43" spans="1:9" x14ac:dyDescent="0.2">
      <c r="A43" s="714"/>
      <c r="B43" s="2013"/>
      <c r="C43" s="751">
        <v>4110</v>
      </c>
      <c r="D43" s="699" t="s">
        <v>1378</v>
      </c>
      <c r="E43" s="735">
        <v>24767.56</v>
      </c>
      <c r="F43" s="755">
        <f>SUM(F44:F49)</f>
        <v>24283.389897000008</v>
      </c>
      <c r="G43" s="814">
        <f t="shared" si="4"/>
        <v>0.98045144119969863</v>
      </c>
      <c r="H43" s="720">
        <v>1614.39</v>
      </c>
      <c r="I43" s="821"/>
    </row>
    <row r="44" spans="1:9" hidden="1" x14ac:dyDescent="0.2">
      <c r="A44" s="714"/>
      <c r="B44" s="2013"/>
      <c r="C44" s="796"/>
      <c r="D44" s="752" t="s">
        <v>1396</v>
      </c>
      <c r="E44" s="753">
        <f>(E30+E37)*17.19%</f>
        <v>0</v>
      </c>
      <c r="F44" s="754">
        <f>(F29+F37-2557.74)*17.19%</f>
        <v>809.02844100000038</v>
      </c>
      <c r="G44" s="815"/>
      <c r="H44" s="743"/>
      <c r="I44" s="822"/>
    </row>
    <row r="45" spans="1:9" hidden="1" x14ac:dyDescent="0.2">
      <c r="A45" s="714"/>
      <c r="B45" s="2013"/>
      <c r="C45" s="797"/>
      <c r="D45" s="752" t="s">
        <v>1393</v>
      </c>
      <c r="E45" s="753">
        <f>(E31+E38)*17.19%</f>
        <v>0</v>
      </c>
      <c r="F45" s="754">
        <f>(F31+F38)*17.19%</f>
        <v>6311.4322680000014</v>
      </c>
      <c r="G45" s="815"/>
      <c r="H45" s="743"/>
      <c r="I45" s="822"/>
    </row>
    <row r="46" spans="1:9" hidden="1" x14ac:dyDescent="0.2">
      <c r="A46" s="714"/>
      <c r="B46" s="2013"/>
      <c r="C46" s="797"/>
      <c r="D46" s="739" t="s">
        <v>1394</v>
      </c>
      <c r="E46" s="753"/>
      <c r="F46" s="754">
        <f>(F32+F39)*17.19%</f>
        <v>6075.0749250000008</v>
      </c>
      <c r="G46" s="815"/>
      <c r="H46" s="743"/>
      <c r="I46" s="822"/>
    </row>
    <row r="47" spans="1:9" hidden="1" x14ac:dyDescent="0.2">
      <c r="A47" s="714"/>
      <c r="B47" s="2013"/>
      <c r="C47" s="797"/>
      <c r="D47" s="752" t="s">
        <v>1395</v>
      </c>
      <c r="E47" s="753">
        <f>(E33+E40)*17.19%</f>
        <v>0</v>
      </c>
      <c r="F47" s="754">
        <f>(F33+F40)*17.19%</f>
        <v>5743.2546360000015</v>
      </c>
      <c r="G47" s="815"/>
      <c r="H47" s="743"/>
      <c r="I47" s="822"/>
    </row>
    <row r="48" spans="1:9" hidden="1" x14ac:dyDescent="0.2">
      <c r="A48" s="714"/>
      <c r="B48" s="2013"/>
      <c r="C48" s="797"/>
      <c r="D48" s="752" t="s">
        <v>1385</v>
      </c>
      <c r="E48" s="753"/>
      <c r="F48" s="754">
        <f>(F34+F41)*17.19%</f>
        <v>3761.8836660000006</v>
      </c>
      <c r="G48" s="815"/>
      <c r="H48" s="743"/>
      <c r="I48" s="822"/>
    </row>
    <row r="49" spans="1:9" hidden="1" x14ac:dyDescent="0.2">
      <c r="A49" s="714"/>
      <c r="B49" s="2013"/>
      <c r="C49" s="798"/>
      <c r="D49" s="739" t="s">
        <v>1386</v>
      </c>
      <c r="E49" s="753"/>
      <c r="F49" s="754">
        <f>F35*17.19%</f>
        <v>1582.7159610000003</v>
      </c>
      <c r="G49" s="815"/>
      <c r="H49" s="743"/>
      <c r="I49" s="822"/>
    </row>
    <row r="50" spans="1:9" x14ac:dyDescent="0.2">
      <c r="A50" s="714"/>
      <c r="B50" s="2013"/>
      <c r="C50" s="704">
        <v>4120</v>
      </c>
      <c r="D50" s="756" t="s">
        <v>349</v>
      </c>
      <c r="E50" s="735">
        <v>2716.2</v>
      </c>
      <c r="F50" s="755">
        <f>SUM(F51:F56)</f>
        <v>2685.6918198170006</v>
      </c>
      <c r="G50" s="814">
        <f t="shared" si="4"/>
        <v>0.98876806561262087</v>
      </c>
      <c r="H50" s="720">
        <v>157.25</v>
      </c>
      <c r="I50" s="825"/>
    </row>
    <row r="51" spans="1:9" hidden="1" x14ac:dyDescent="0.2">
      <c r="A51" s="714"/>
      <c r="B51" s="2013"/>
      <c r="C51" s="2048"/>
      <c r="D51" s="752" t="s">
        <v>1397</v>
      </c>
      <c r="E51" s="804">
        <f>(E30+E37)*2.45%</f>
        <v>0</v>
      </c>
      <c r="F51" s="805">
        <v>115.31</v>
      </c>
      <c r="G51" s="814"/>
      <c r="H51" s="720"/>
      <c r="I51" s="825"/>
    </row>
    <row r="52" spans="1:9" hidden="1" x14ac:dyDescent="0.2">
      <c r="A52" s="714"/>
      <c r="B52" s="2013"/>
      <c r="C52" s="2049"/>
      <c r="D52" s="752" t="s">
        <v>1393</v>
      </c>
      <c r="E52" s="804">
        <f>(E31+E38)*2.45%</f>
        <v>0</v>
      </c>
      <c r="F52" s="805">
        <f>(F31+F38)*2.45%</f>
        <v>899.53514000000007</v>
      </c>
      <c r="G52" s="814"/>
      <c r="H52" s="720"/>
      <c r="I52" s="825"/>
    </row>
    <row r="53" spans="1:9" hidden="1" x14ac:dyDescent="0.2">
      <c r="A53" s="714"/>
      <c r="B53" s="2013"/>
      <c r="C53" s="2049"/>
      <c r="D53" s="752" t="s">
        <v>1394</v>
      </c>
      <c r="E53" s="804"/>
      <c r="F53" s="805">
        <f>(F32+F39)*2.45%</f>
        <v>865.84837500000003</v>
      </c>
      <c r="G53" s="814"/>
      <c r="H53" s="720"/>
      <c r="I53" s="825"/>
    </row>
    <row r="54" spans="1:9" hidden="1" x14ac:dyDescent="0.2">
      <c r="A54" s="714"/>
      <c r="B54" s="2013"/>
      <c r="C54" s="2049"/>
      <c r="D54" s="739" t="s">
        <v>1395</v>
      </c>
      <c r="E54" s="804">
        <v>0</v>
      </c>
      <c r="F54" s="805">
        <v>0</v>
      </c>
      <c r="G54" s="814"/>
      <c r="H54" s="720"/>
      <c r="I54" s="825"/>
    </row>
    <row r="55" spans="1:9" hidden="1" x14ac:dyDescent="0.2">
      <c r="A55" s="714"/>
      <c r="B55" s="2013"/>
      <c r="C55" s="2049"/>
      <c r="D55" s="752" t="s">
        <v>1385</v>
      </c>
      <c r="E55" s="753"/>
      <c r="F55" s="754">
        <f>(F34+F48)*2.45%</f>
        <v>579.4221498170001</v>
      </c>
      <c r="G55" s="815"/>
      <c r="H55" s="743"/>
      <c r="I55" s="822"/>
    </row>
    <row r="56" spans="1:9" hidden="1" x14ac:dyDescent="0.2">
      <c r="A56" s="714"/>
      <c r="B56" s="2013"/>
      <c r="C56" s="2050"/>
      <c r="D56" s="739" t="s">
        <v>1386</v>
      </c>
      <c r="E56" s="753"/>
      <c r="F56" s="754">
        <f>F35*2.45%</f>
        <v>225.57615500000003</v>
      </c>
      <c r="G56" s="815"/>
      <c r="H56" s="743"/>
      <c r="I56" s="822"/>
    </row>
    <row r="57" spans="1:9" ht="24" x14ac:dyDescent="0.2">
      <c r="A57" s="714"/>
      <c r="B57" s="2013"/>
      <c r="C57" s="704">
        <v>4440</v>
      </c>
      <c r="D57" s="756" t="s">
        <v>490</v>
      </c>
      <c r="E57" s="735">
        <v>5039</v>
      </c>
      <c r="F57" s="831">
        <v>5039</v>
      </c>
      <c r="G57" s="814">
        <f t="shared" si="4"/>
        <v>1</v>
      </c>
      <c r="H57" s="720">
        <v>0</v>
      </c>
      <c r="I57" s="825"/>
    </row>
    <row r="58" spans="1:9" ht="36" x14ac:dyDescent="0.2">
      <c r="A58" s="714"/>
      <c r="B58" s="2013"/>
      <c r="C58" s="751">
        <v>4600</v>
      </c>
      <c r="D58" s="807" t="s">
        <v>1398</v>
      </c>
      <c r="E58" s="700">
        <v>300</v>
      </c>
      <c r="F58" s="832">
        <v>300</v>
      </c>
      <c r="G58" s="814">
        <f>F58/E58</f>
        <v>1</v>
      </c>
      <c r="H58" s="792">
        <v>0</v>
      </c>
      <c r="I58" s="825"/>
    </row>
    <row r="59" spans="1:9" ht="22.5" x14ac:dyDescent="0.2">
      <c r="A59" s="714"/>
      <c r="B59" s="2013"/>
      <c r="C59" s="810"/>
      <c r="D59" s="811" t="s">
        <v>1399</v>
      </c>
      <c r="E59" s="833"/>
      <c r="F59" s="834"/>
      <c r="G59" s="812"/>
      <c r="H59" s="813"/>
      <c r="I59" s="826"/>
    </row>
    <row r="60" spans="1:9" ht="24.75" thickBot="1" x14ac:dyDescent="0.25">
      <c r="A60" s="714"/>
      <c r="B60" s="2051"/>
      <c r="C60" s="800">
        <v>4700</v>
      </c>
      <c r="D60" s="757" t="s">
        <v>1102</v>
      </c>
      <c r="E60" s="705">
        <v>1582.04</v>
      </c>
      <c r="F60" s="835">
        <v>858</v>
      </c>
      <c r="G60" s="836">
        <f t="shared" si="4"/>
        <v>0.5423377411443453</v>
      </c>
      <c r="H60" s="806">
        <v>0</v>
      </c>
      <c r="I60" s="806"/>
    </row>
    <row r="61" spans="1:9" ht="25.5" customHeight="1" thickBot="1" x14ac:dyDescent="0.25">
      <c r="A61" s="758"/>
      <c r="B61" s="759"/>
      <c r="C61" s="759"/>
      <c r="D61" s="760" t="s">
        <v>1083</v>
      </c>
      <c r="E61" s="707">
        <f>E17</f>
        <v>1882908.1800000002</v>
      </c>
      <c r="F61" s="707">
        <f>F17</f>
        <v>1865402.4417168174</v>
      </c>
      <c r="G61" s="816">
        <f>F61/E61</f>
        <v>0.99070281893236944</v>
      </c>
      <c r="H61" s="708">
        <f>H17</f>
        <v>13913.58</v>
      </c>
      <c r="I61" s="696"/>
    </row>
    <row r="62" spans="1:9" ht="33" customHeight="1" x14ac:dyDescent="0.2">
      <c r="A62" s="2054" t="s">
        <v>1401</v>
      </c>
      <c r="B62" s="2054"/>
      <c r="C62" s="2054"/>
      <c r="D62" s="2054"/>
      <c r="E62" s="2054"/>
      <c r="F62" s="2054"/>
      <c r="G62" s="2054"/>
      <c r="H62" s="2054"/>
      <c r="I62" s="2054"/>
    </row>
    <row r="63" spans="1:9" x14ac:dyDescent="0.2">
      <c r="A63" s="761" t="s">
        <v>1379</v>
      </c>
      <c r="B63" s="761"/>
      <c r="C63" s="761"/>
      <c r="D63" s="761"/>
      <c r="E63" s="270"/>
      <c r="F63" s="766"/>
      <c r="G63" s="270"/>
    </row>
    <row r="64" spans="1:9" x14ac:dyDescent="0.2">
      <c r="A64" s="837" t="s">
        <v>1381</v>
      </c>
      <c r="B64" s="837"/>
      <c r="C64" s="837"/>
      <c r="D64" s="838">
        <v>192470.56</v>
      </c>
      <c r="E64" s="270"/>
      <c r="F64" s="270"/>
      <c r="G64" s="270"/>
    </row>
    <row r="65" spans="1:7" x14ac:dyDescent="0.2">
      <c r="A65" s="837" t="s">
        <v>1382</v>
      </c>
      <c r="B65" s="837"/>
      <c r="C65" s="837"/>
      <c r="D65" s="838">
        <v>137553.07</v>
      </c>
      <c r="E65" s="270"/>
      <c r="F65" s="270"/>
      <c r="G65" s="270"/>
    </row>
    <row r="66" spans="1:7" s="765" customFormat="1" ht="16.5" customHeight="1" x14ac:dyDescent="0.25">
      <c r="A66" s="2055" t="s">
        <v>1383</v>
      </c>
      <c r="B66" s="2055"/>
      <c r="C66" s="2055"/>
      <c r="D66" s="840">
        <f>'[1]2015 roczne'!F53</f>
        <v>105831.27419900033</v>
      </c>
      <c r="E66" s="762"/>
      <c r="F66" s="763"/>
      <c r="G66" s="764"/>
    </row>
    <row r="67" spans="1:7" x14ac:dyDescent="0.2">
      <c r="A67" s="2052" t="s">
        <v>1384</v>
      </c>
      <c r="B67" s="2052"/>
      <c r="C67" s="2052"/>
      <c r="D67" s="838">
        <v>60366.85</v>
      </c>
      <c r="E67" s="270"/>
      <c r="F67" s="270"/>
      <c r="G67" s="270"/>
    </row>
    <row r="68" spans="1:7" x14ac:dyDescent="0.2">
      <c r="A68" s="2052" t="s">
        <v>1400</v>
      </c>
      <c r="B68" s="2052"/>
      <c r="C68" s="2052"/>
      <c r="D68" s="838">
        <f>F14-F61</f>
        <v>73503.758283182513</v>
      </c>
      <c r="E68" s="766"/>
      <c r="F68" s="766"/>
      <c r="G68" s="270"/>
    </row>
    <row r="69" spans="1:7" x14ac:dyDescent="0.2">
      <c r="A69" s="2053" t="s">
        <v>1402</v>
      </c>
      <c r="B69" s="2053"/>
      <c r="C69" s="2053"/>
      <c r="D69" s="839">
        <f>D64+D65+D66-D67+D68</f>
        <v>448991.81248218287</v>
      </c>
    </row>
  </sheetData>
  <mergeCells count="15">
    <mergeCell ref="C51:C56"/>
    <mergeCell ref="B21:B60"/>
    <mergeCell ref="A68:C68"/>
    <mergeCell ref="A69:C69"/>
    <mergeCell ref="A62:I62"/>
    <mergeCell ref="A66:C66"/>
    <mergeCell ref="A67:C67"/>
    <mergeCell ref="C28:C35"/>
    <mergeCell ref="D1:H1"/>
    <mergeCell ref="A4:I4"/>
    <mergeCell ref="A5:H5"/>
    <mergeCell ref="A7:D7"/>
    <mergeCell ref="A15:D15"/>
    <mergeCell ref="F15:H15"/>
    <mergeCell ref="E2:I2"/>
  </mergeCells>
  <pageMargins left="0.78740157480314965" right="0" top="0.59055118110236227" bottom="0.39370078740157483" header="0.11811023622047245" footer="0.11811023622047245"/>
  <pageSetup paperSize="9" scale="84" fitToHeight="0" orientation="portrait" r:id="rId1"/>
  <headerFooter alignWithMargins="0"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0"/>
  <sheetViews>
    <sheetView showGridLines="0" topLeftCell="A628" workbookViewId="0">
      <selection activeCell="J567" sqref="J567"/>
    </sheetView>
  </sheetViews>
  <sheetFormatPr defaultRowHeight="12.75" x14ac:dyDescent="0.2"/>
  <cols>
    <col min="1" max="1" width="4.85546875" style="6" customWidth="1"/>
    <col min="2" max="2" width="7.7109375" style="6" customWidth="1"/>
    <col min="3" max="3" width="9" style="6" customWidth="1"/>
    <col min="4" max="4" width="36.5703125" style="6" customWidth="1"/>
    <col min="5" max="5" width="12.7109375" style="6" customWidth="1"/>
    <col min="6" max="6" width="12" style="6" customWidth="1"/>
    <col min="7" max="7" width="13" style="6" customWidth="1"/>
    <col min="8" max="8" width="14" style="6" customWidth="1"/>
    <col min="9" max="9" width="9.140625" style="6"/>
    <col min="10" max="10" width="13.7109375" style="6" customWidth="1"/>
    <col min="11" max="249" width="9.140625" style="6"/>
    <col min="250" max="250" width="2.140625" style="6" customWidth="1"/>
    <col min="251" max="251" width="8.7109375" style="6" customWidth="1"/>
    <col min="252" max="252" width="9.85546875" style="6" customWidth="1"/>
    <col min="253" max="253" width="1" style="6" customWidth="1"/>
    <col min="254" max="254" width="10.85546875" style="6" customWidth="1"/>
    <col min="255" max="255" width="1" style="6" customWidth="1"/>
    <col min="256" max="256" width="53.5703125" style="6" customWidth="1"/>
    <col min="257" max="258" width="22.85546875" style="6" customWidth="1"/>
    <col min="259" max="259" width="8.7109375" style="6" customWidth="1"/>
    <col min="260" max="260" width="14.140625" style="6" customWidth="1"/>
    <col min="261" max="505" width="9.140625" style="6"/>
    <col min="506" max="506" width="2.140625" style="6" customWidth="1"/>
    <col min="507" max="507" width="8.7109375" style="6" customWidth="1"/>
    <col min="508" max="508" width="9.85546875" style="6" customWidth="1"/>
    <col min="509" max="509" width="1" style="6" customWidth="1"/>
    <col min="510" max="510" width="10.85546875" style="6" customWidth="1"/>
    <col min="511" max="511" width="1" style="6" customWidth="1"/>
    <col min="512" max="512" width="53.5703125" style="6" customWidth="1"/>
    <col min="513" max="514" width="22.85546875" style="6" customWidth="1"/>
    <col min="515" max="515" width="8.7109375" style="6" customWidth="1"/>
    <col min="516" max="516" width="14.140625" style="6" customWidth="1"/>
    <col min="517" max="761" width="9.140625" style="6"/>
    <col min="762" max="762" width="2.140625" style="6" customWidth="1"/>
    <col min="763" max="763" width="8.7109375" style="6" customWidth="1"/>
    <col min="764" max="764" width="9.85546875" style="6" customWidth="1"/>
    <col min="765" max="765" width="1" style="6" customWidth="1"/>
    <col min="766" max="766" width="10.85546875" style="6" customWidth="1"/>
    <col min="767" max="767" width="1" style="6" customWidth="1"/>
    <col min="768" max="768" width="53.5703125" style="6" customWidth="1"/>
    <col min="769" max="770" width="22.85546875" style="6" customWidth="1"/>
    <col min="771" max="771" width="8.7109375" style="6" customWidth="1"/>
    <col min="772" max="772" width="14.140625" style="6" customWidth="1"/>
    <col min="773" max="1017" width="9.140625" style="6"/>
    <col min="1018" max="1018" width="2.140625" style="6" customWidth="1"/>
    <col min="1019" max="1019" width="8.7109375" style="6" customWidth="1"/>
    <col min="1020" max="1020" width="9.85546875" style="6" customWidth="1"/>
    <col min="1021" max="1021" width="1" style="6" customWidth="1"/>
    <col min="1022" max="1022" width="10.85546875" style="6" customWidth="1"/>
    <col min="1023" max="1023" width="1" style="6" customWidth="1"/>
    <col min="1024" max="1024" width="53.5703125" style="6" customWidth="1"/>
    <col min="1025" max="1026" width="22.85546875" style="6" customWidth="1"/>
    <col min="1027" max="1027" width="8.7109375" style="6" customWidth="1"/>
    <col min="1028" max="1028" width="14.140625" style="6" customWidth="1"/>
    <col min="1029" max="1273" width="9.140625" style="6"/>
    <col min="1274" max="1274" width="2.140625" style="6" customWidth="1"/>
    <col min="1275" max="1275" width="8.7109375" style="6" customWidth="1"/>
    <col min="1276" max="1276" width="9.85546875" style="6" customWidth="1"/>
    <col min="1277" max="1277" width="1" style="6" customWidth="1"/>
    <col min="1278" max="1278" width="10.85546875" style="6" customWidth="1"/>
    <col min="1279" max="1279" width="1" style="6" customWidth="1"/>
    <col min="1280" max="1280" width="53.5703125" style="6" customWidth="1"/>
    <col min="1281" max="1282" width="22.85546875" style="6" customWidth="1"/>
    <col min="1283" max="1283" width="8.7109375" style="6" customWidth="1"/>
    <col min="1284" max="1284" width="14.140625" style="6" customWidth="1"/>
    <col min="1285" max="1529" width="9.140625" style="6"/>
    <col min="1530" max="1530" width="2.140625" style="6" customWidth="1"/>
    <col min="1531" max="1531" width="8.7109375" style="6" customWidth="1"/>
    <col min="1532" max="1532" width="9.85546875" style="6" customWidth="1"/>
    <col min="1533" max="1533" width="1" style="6" customWidth="1"/>
    <col min="1534" max="1534" width="10.85546875" style="6" customWidth="1"/>
    <col min="1535" max="1535" width="1" style="6" customWidth="1"/>
    <col min="1536" max="1536" width="53.5703125" style="6" customWidth="1"/>
    <col min="1537" max="1538" width="22.85546875" style="6" customWidth="1"/>
    <col min="1539" max="1539" width="8.7109375" style="6" customWidth="1"/>
    <col min="1540" max="1540" width="14.140625" style="6" customWidth="1"/>
    <col min="1541" max="1785" width="9.140625" style="6"/>
    <col min="1786" max="1786" width="2.140625" style="6" customWidth="1"/>
    <col min="1787" max="1787" width="8.7109375" style="6" customWidth="1"/>
    <col min="1788" max="1788" width="9.85546875" style="6" customWidth="1"/>
    <col min="1789" max="1789" width="1" style="6" customWidth="1"/>
    <col min="1790" max="1790" width="10.85546875" style="6" customWidth="1"/>
    <col min="1791" max="1791" width="1" style="6" customWidth="1"/>
    <col min="1792" max="1792" width="53.5703125" style="6" customWidth="1"/>
    <col min="1793" max="1794" width="22.85546875" style="6" customWidth="1"/>
    <col min="1795" max="1795" width="8.7109375" style="6" customWidth="1"/>
    <col min="1796" max="1796" width="14.140625" style="6" customWidth="1"/>
    <col min="1797" max="2041" width="9.140625" style="6"/>
    <col min="2042" max="2042" width="2.140625" style="6" customWidth="1"/>
    <col min="2043" max="2043" width="8.7109375" style="6" customWidth="1"/>
    <col min="2044" max="2044" width="9.85546875" style="6" customWidth="1"/>
    <col min="2045" max="2045" width="1" style="6" customWidth="1"/>
    <col min="2046" max="2046" width="10.85546875" style="6" customWidth="1"/>
    <col min="2047" max="2047" width="1" style="6" customWidth="1"/>
    <col min="2048" max="2048" width="53.5703125" style="6" customWidth="1"/>
    <col min="2049" max="2050" width="22.85546875" style="6" customWidth="1"/>
    <col min="2051" max="2051" width="8.7109375" style="6" customWidth="1"/>
    <col min="2052" max="2052" width="14.140625" style="6" customWidth="1"/>
    <col min="2053" max="2297" width="9.140625" style="6"/>
    <col min="2298" max="2298" width="2.140625" style="6" customWidth="1"/>
    <col min="2299" max="2299" width="8.7109375" style="6" customWidth="1"/>
    <col min="2300" max="2300" width="9.85546875" style="6" customWidth="1"/>
    <col min="2301" max="2301" width="1" style="6" customWidth="1"/>
    <col min="2302" max="2302" width="10.85546875" style="6" customWidth="1"/>
    <col min="2303" max="2303" width="1" style="6" customWidth="1"/>
    <col min="2304" max="2304" width="53.5703125" style="6" customWidth="1"/>
    <col min="2305" max="2306" width="22.85546875" style="6" customWidth="1"/>
    <col min="2307" max="2307" width="8.7109375" style="6" customWidth="1"/>
    <col min="2308" max="2308" width="14.140625" style="6" customWidth="1"/>
    <col min="2309" max="2553" width="9.140625" style="6"/>
    <col min="2554" max="2554" width="2.140625" style="6" customWidth="1"/>
    <col min="2555" max="2555" width="8.7109375" style="6" customWidth="1"/>
    <col min="2556" max="2556" width="9.85546875" style="6" customWidth="1"/>
    <col min="2557" max="2557" width="1" style="6" customWidth="1"/>
    <col min="2558" max="2558" width="10.85546875" style="6" customWidth="1"/>
    <col min="2559" max="2559" width="1" style="6" customWidth="1"/>
    <col min="2560" max="2560" width="53.5703125" style="6" customWidth="1"/>
    <col min="2561" max="2562" width="22.85546875" style="6" customWidth="1"/>
    <col min="2563" max="2563" width="8.7109375" style="6" customWidth="1"/>
    <col min="2564" max="2564" width="14.140625" style="6" customWidth="1"/>
    <col min="2565" max="2809" width="9.140625" style="6"/>
    <col min="2810" max="2810" width="2.140625" style="6" customWidth="1"/>
    <col min="2811" max="2811" width="8.7109375" style="6" customWidth="1"/>
    <col min="2812" max="2812" width="9.85546875" style="6" customWidth="1"/>
    <col min="2813" max="2813" width="1" style="6" customWidth="1"/>
    <col min="2814" max="2814" width="10.85546875" style="6" customWidth="1"/>
    <col min="2815" max="2815" width="1" style="6" customWidth="1"/>
    <col min="2816" max="2816" width="53.5703125" style="6" customWidth="1"/>
    <col min="2817" max="2818" width="22.85546875" style="6" customWidth="1"/>
    <col min="2819" max="2819" width="8.7109375" style="6" customWidth="1"/>
    <col min="2820" max="2820" width="14.140625" style="6" customWidth="1"/>
    <col min="2821" max="3065" width="9.140625" style="6"/>
    <col min="3066" max="3066" width="2.140625" style="6" customWidth="1"/>
    <col min="3067" max="3067" width="8.7109375" style="6" customWidth="1"/>
    <col min="3068" max="3068" width="9.85546875" style="6" customWidth="1"/>
    <col min="3069" max="3069" width="1" style="6" customWidth="1"/>
    <col min="3070" max="3070" width="10.85546875" style="6" customWidth="1"/>
    <col min="3071" max="3071" width="1" style="6" customWidth="1"/>
    <col min="3072" max="3072" width="53.5703125" style="6" customWidth="1"/>
    <col min="3073" max="3074" width="22.85546875" style="6" customWidth="1"/>
    <col min="3075" max="3075" width="8.7109375" style="6" customWidth="1"/>
    <col min="3076" max="3076" width="14.140625" style="6" customWidth="1"/>
    <col min="3077" max="3321" width="9.140625" style="6"/>
    <col min="3322" max="3322" width="2.140625" style="6" customWidth="1"/>
    <col min="3323" max="3323" width="8.7109375" style="6" customWidth="1"/>
    <col min="3324" max="3324" width="9.85546875" style="6" customWidth="1"/>
    <col min="3325" max="3325" width="1" style="6" customWidth="1"/>
    <col min="3326" max="3326" width="10.85546875" style="6" customWidth="1"/>
    <col min="3327" max="3327" width="1" style="6" customWidth="1"/>
    <col min="3328" max="3328" width="53.5703125" style="6" customWidth="1"/>
    <col min="3329" max="3330" width="22.85546875" style="6" customWidth="1"/>
    <col min="3331" max="3331" width="8.7109375" style="6" customWidth="1"/>
    <col min="3332" max="3332" width="14.140625" style="6" customWidth="1"/>
    <col min="3333" max="3577" width="9.140625" style="6"/>
    <col min="3578" max="3578" width="2.140625" style="6" customWidth="1"/>
    <col min="3579" max="3579" width="8.7109375" style="6" customWidth="1"/>
    <col min="3580" max="3580" width="9.85546875" style="6" customWidth="1"/>
    <col min="3581" max="3581" width="1" style="6" customWidth="1"/>
    <col min="3582" max="3582" width="10.85546875" style="6" customWidth="1"/>
    <col min="3583" max="3583" width="1" style="6" customWidth="1"/>
    <col min="3584" max="3584" width="53.5703125" style="6" customWidth="1"/>
    <col min="3585" max="3586" width="22.85546875" style="6" customWidth="1"/>
    <col min="3587" max="3587" width="8.7109375" style="6" customWidth="1"/>
    <col min="3588" max="3588" width="14.140625" style="6" customWidth="1"/>
    <col min="3589" max="3833" width="9.140625" style="6"/>
    <col min="3834" max="3834" width="2.140625" style="6" customWidth="1"/>
    <col min="3835" max="3835" width="8.7109375" style="6" customWidth="1"/>
    <col min="3836" max="3836" width="9.85546875" style="6" customWidth="1"/>
    <col min="3837" max="3837" width="1" style="6" customWidth="1"/>
    <col min="3838" max="3838" width="10.85546875" style="6" customWidth="1"/>
    <col min="3839" max="3839" width="1" style="6" customWidth="1"/>
    <col min="3840" max="3840" width="53.5703125" style="6" customWidth="1"/>
    <col min="3841" max="3842" width="22.85546875" style="6" customWidth="1"/>
    <col min="3843" max="3843" width="8.7109375" style="6" customWidth="1"/>
    <col min="3844" max="3844" width="14.140625" style="6" customWidth="1"/>
    <col min="3845" max="4089" width="9.140625" style="6"/>
    <col min="4090" max="4090" width="2.140625" style="6" customWidth="1"/>
    <col min="4091" max="4091" width="8.7109375" style="6" customWidth="1"/>
    <col min="4092" max="4092" width="9.85546875" style="6" customWidth="1"/>
    <col min="4093" max="4093" width="1" style="6" customWidth="1"/>
    <col min="4094" max="4094" width="10.85546875" style="6" customWidth="1"/>
    <col min="4095" max="4095" width="1" style="6" customWidth="1"/>
    <col min="4096" max="4096" width="53.5703125" style="6" customWidth="1"/>
    <col min="4097" max="4098" width="22.85546875" style="6" customWidth="1"/>
    <col min="4099" max="4099" width="8.7109375" style="6" customWidth="1"/>
    <col min="4100" max="4100" width="14.140625" style="6" customWidth="1"/>
    <col min="4101" max="4345" width="9.140625" style="6"/>
    <col min="4346" max="4346" width="2.140625" style="6" customWidth="1"/>
    <col min="4347" max="4347" width="8.7109375" style="6" customWidth="1"/>
    <col min="4348" max="4348" width="9.85546875" style="6" customWidth="1"/>
    <col min="4349" max="4349" width="1" style="6" customWidth="1"/>
    <col min="4350" max="4350" width="10.85546875" style="6" customWidth="1"/>
    <col min="4351" max="4351" width="1" style="6" customWidth="1"/>
    <col min="4352" max="4352" width="53.5703125" style="6" customWidth="1"/>
    <col min="4353" max="4354" width="22.85546875" style="6" customWidth="1"/>
    <col min="4355" max="4355" width="8.7109375" style="6" customWidth="1"/>
    <col min="4356" max="4356" width="14.140625" style="6" customWidth="1"/>
    <col min="4357" max="4601" width="9.140625" style="6"/>
    <col min="4602" max="4602" width="2.140625" style="6" customWidth="1"/>
    <col min="4603" max="4603" width="8.7109375" style="6" customWidth="1"/>
    <col min="4604" max="4604" width="9.85546875" style="6" customWidth="1"/>
    <col min="4605" max="4605" width="1" style="6" customWidth="1"/>
    <col min="4606" max="4606" width="10.85546875" style="6" customWidth="1"/>
    <col min="4607" max="4607" width="1" style="6" customWidth="1"/>
    <col min="4608" max="4608" width="53.5703125" style="6" customWidth="1"/>
    <col min="4609" max="4610" width="22.85546875" style="6" customWidth="1"/>
    <col min="4611" max="4611" width="8.7109375" style="6" customWidth="1"/>
    <col min="4612" max="4612" width="14.140625" style="6" customWidth="1"/>
    <col min="4613" max="4857" width="9.140625" style="6"/>
    <col min="4858" max="4858" width="2.140625" style="6" customWidth="1"/>
    <col min="4859" max="4859" width="8.7109375" style="6" customWidth="1"/>
    <col min="4860" max="4860" width="9.85546875" style="6" customWidth="1"/>
    <col min="4861" max="4861" width="1" style="6" customWidth="1"/>
    <col min="4862" max="4862" width="10.85546875" style="6" customWidth="1"/>
    <col min="4863" max="4863" width="1" style="6" customWidth="1"/>
    <col min="4864" max="4864" width="53.5703125" style="6" customWidth="1"/>
    <col min="4865" max="4866" width="22.85546875" style="6" customWidth="1"/>
    <col min="4867" max="4867" width="8.7109375" style="6" customWidth="1"/>
    <col min="4868" max="4868" width="14.140625" style="6" customWidth="1"/>
    <col min="4869" max="5113" width="9.140625" style="6"/>
    <col min="5114" max="5114" width="2.140625" style="6" customWidth="1"/>
    <col min="5115" max="5115" width="8.7109375" style="6" customWidth="1"/>
    <col min="5116" max="5116" width="9.85546875" style="6" customWidth="1"/>
    <col min="5117" max="5117" width="1" style="6" customWidth="1"/>
    <col min="5118" max="5118" width="10.85546875" style="6" customWidth="1"/>
    <col min="5119" max="5119" width="1" style="6" customWidth="1"/>
    <col min="5120" max="5120" width="53.5703125" style="6" customWidth="1"/>
    <col min="5121" max="5122" width="22.85546875" style="6" customWidth="1"/>
    <col min="5123" max="5123" width="8.7109375" style="6" customWidth="1"/>
    <col min="5124" max="5124" width="14.140625" style="6" customWidth="1"/>
    <col min="5125" max="5369" width="9.140625" style="6"/>
    <col min="5370" max="5370" width="2.140625" style="6" customWidth="1"/>
    <col min="5371" max="5371" width="8.7109375" style="6" customWidth="1"/>
    <col min="5372" max="5372" width="9.85546875" style="6" customWidth="1"/>
    <col min="5373" max="5373" width="1" style="6" customWidth="1"/>
    <col min="5374" max="5374" width="10.85546875" style="6" customWidth="1"/>
    <col min="5375" max="5375" width="1" style="6" customWidth="1"/>
    <col min="5376" max="5376" width="53.5703125" style="6" customWidth="1"/>
    <col min="5377" max="5378" width="22.85546875" style="6" customWidth="1"/>
    <col min="5379" max="5379" width="8.7109375" style="6" customWidth="1"/>
    <col min="5380" max="5380" width="14.140625" style="6" customWidth="1"/>
    <col min="5381" max="5625" width="9.140625" style="6"/>
    <col min="5626" max="5626" width="2.140625" style="6" customWidth="1"/>
    <col min="5627" max="5627" width="8.7109375" style="6" customWidth="1"/>
    <col min="5628" max="5628" width="9.85546875" style="6" customWidth="1"/>
    <col min="5629" max="5629" width="1" style="6" customWidth="1"/>
    <col min="5630" max="5630" width="10.85546875" style="6" customWidth="1"/>
    <col min="5631" max="5631" width="1" style="6" customWidth="1"/>
    <col min="5632" max="5632" width="53.5703125" style="6" customWidth="1"/>
    <col min="5633" max="5634" width="22.85546875" style="6" customWidth="1"/>
    <col min="5635" max="5635" width="8.7109375" style="6" customWidth="1"/>
    <col min="5636" max="5636" width="14.140625" style="6" customWidth="1"/>
    <col min="5637" max="5881" width="9.140625" style="6"/>
    <col min="5882" max="5882" width="2.140625" style="6" customWidth="1"/>
    <col min="5883" max="5883" width="8.7109375" style="6" customWidth="1"/>
    <col min="5884" max="5884" width="9.85546875" style="6" customWidth="1"/>
    <col min="5885" max="5885" width="1" style="6" customWidth="1"/>
    <col min="5886" max="5886" width="10.85546875" style="6" customWidth="1"/>
    <col min="5887" max="5887" width="1" style="6" customWidth="1"/>
    <col min="5888" max="5888" width="53.5703125" style="6" customWidth="1"/>
    <col min="5889" max="5890" width="22.85546875" style="6" customWidth="1"/>
    <col min="5891" max="5891" width="8.7109375" style="6" customWidth="1"/>
    <col min="5892" max="5892" width="14.140625" style="6" customWidth="1"/>
    <col min="5893" max="6137" width="9.140625" style="6"/>
    <col min="6138" max="6138" width="2.140625" style="6" customWidth="1"/>
    <col min="6139" max="6139" width="8.7109375" style="6" customWidth="1"/>
    <col min="6140" max="6140" width="9.85546875" style="6" customWidth="1"/>
    <col min="6141" max="6141" width="1" style="6" customWidth="1"/>
    <col min="6142" max="6142" width="10.85546875" style="6" customWidth="1"/>
    <col min="6143" max="6143" width="1" style="6" customWidth="1"/>
    <col min="6144" max="6144" width="53.5703125" style="6" customWidth="1"/>
    <col min="6145" max="6146" width="22.85546875" style="6" customWidth="1"/>
    <col min="6147" max="6147" width="8.7109375" style="6" customWidth="1"/>
    <col min="6148" max="6148" width="14.140625" style="6" customWidth="1"/>
    <col min="6149" max="6393" width="9.140625" style="6"/>
    <col min="6394" max="6394" width="2.140625" style="6" customWidth="1"/>
    <col min="6395" max="6395" width="8.7109375" style="6" customWidth="1"/>
    <col min="6396" max="6396" width="9.85546875" style="6" customWidth="1"/>
    <col min="6397" max="6397" width="1" style="6" customWidth="1"/>
    <col min="6398" max="6398" width="10.85546875" style="6" customWidth="1"/>
    <col min="6399" max="6399" width="1" style="6" customWidth="1"/>
    <col min="6400" max="6400" width="53.5703125" style="6" customWidth="1"/>
    <col min="6401" max="6402" width="22.85546875" style="6" customWidth="1"/>
    <col min="6403" max="6403" width="8.7109375" style="6" customWidth="1"/>
    <col min="6404" max="6404" width="14.140625" style="6" customWidth="1"/>
    <col min="6405" max="6649" width="9.140625" style="6"/>
    <col min="6650" max="6650" width="2.140625" style="6" customWidth="1"/>
    <col min="6651" max="6651" width="8.7109375" style="6" customWidth="1"/>
    <col min="6652" max="6652" width="9.85546875" style="6" customWidth="1"/>
    <col min="6653" max="6653" width="1" style="6" customWidth="1"/>
    <col min="6654" max="6654" width="10.85546875" style="6" customWidth="1"/>
    <col min="6655" max="6655" width="1" style="6" customWidth="1"/>
    <col min="6656" max="6656" width="53.5703125" style="6" customWidth="1"/>
    <col min="6657" max="6658" width="22.85546875" style="6" customWidth="1"/>
    <col min="6659" max="6659" width="8.7109375" style="6" customWidth="1"/>
    <col min="6660" max="6660" width="14.140625" style="6" customWidth="1"/>
    <col min="6661" max="6905" width="9.140625" style="6"/>
    <col min="6906" max="6906" width="2.140625" style="6" customWidth="1"/>
    <col min="6907" max="6907" width="8.7109375" style="6" customWidth="1"/>
    <col min="6908" max="6908" width="9.85546875" style="6" customWidth="1"/>
    <col min="6909" max="6909" width="1" style="6" customWidth="1"/>
    <col min="6910" max="6910" width="10.85546875" style="6" customWidth="1"/>
    <col min="6911" max="6911" width="1" style="6" customWidth="1"/>
    <col min="6912" max="6912" width="53.5703125" style="6" customWidth="1"/>
    <col min="6913" max="6914" width="22.85546875" style="6" customWidth="1"/>
    <col min="6915" max="6915" width="8.7109375" style="6" customWidth="1"/>
    <col min="6916" max="6916" width="14.140625" style="6" customWidth="1"/>
    <col min="6917" max="7161" width="9.140625" style="6"/>
    <col min="7162" max="7162" width="2.140625" style="6" customWidth="1"/>
    <col min="7163" max="7163" width="8.7109375" style="6" customWidth="1"/>
    <col min="7164" max="7164" width="9.85546875" style="6" customWidth="1"/>
    <col min="7165" max="7165" width="1" style="6" customWidth="1"/>
    <col min="7166" max="7166" width="10.85546875" style="6" customWidth="1"/>
    <col min="7167" max="7167" width="1" style="6" customWidth="1"/>
    <col min="7168" max="7168" width="53.5703125" style="6" customWidth="1"/>
    <col min="7169" max="7170" width="22.85546875" style="6" customWidth="1"/>
    <col min="7171" max="7171" width="8.7109375" style="6" customWidth="1"/>
    <col min="7172" max="7172" width="14.140625" style="6" customWidth="1"/>
    <col min="7173" max="7417" width="9.140625" style="6"/>
    <col min="7418" max="7418" width="2.140625" style="6" customWidth="1"/>
    <col min="7419" max="7419" width="8.7109375" style="6" customWidth="1"/>
    <col min="7420" max="7420" width="9.85546875" style="6" customWidth="1"/>
    <col min="7421" max="7421" width="1" style="6" customWidth="1"/>
    <col min="7422" max="7422" width="10.85546875" style="6" customWidth="1"/>
    <col min="7423" max="7423" width="1" style="6" customWidth="1"/>
    <col min="7424" max="7424" width="53.5703125" style="6" customWidth="1"/>
    <col min="7425" max="7426" width="22.85546875" style="6" customWidth="1"/>
    <col min="7427" max="7427" width="8.7109375" style="6" customWidth="1"/>
    <col min="7428" max="7428" width="14.140625" style="6" customWidth="1"/>
    <col min="7429" max="7673" width="9.140625" style="6"/>
    <col min="7674" max="7674" width="2.140625" style="6" customWidth="1"/>
    <col min="7675" max="7675" width="8.7109375" style="6" customWidth="1"/>
    <col min="7676" max="7676" width="9.85546875" style="6" customWidth="1"/>
    <col min="7677" max="7677" width="1" style="6" customWidth="1"/>
    <col min="7678" max="7678" width="10.85546875" style="6" customWidth="1"/>
    <col min="7679" max="7679" width="1" style="6" customWidth="1"/>
    <col min="7680" max="7680" width="53.5703125" style="6" customWidth="1"/>
    <col min="7681" max="7682" width="22.85546875" style="6" customWidth="1"/>
    <col min="7683" max="7683" width="8.7109375" style="6" customWidth="1"/>
    <col min="7684" max="7684" width="14.140625" style="6" customWidth="1"/>
    <col min="7685" max="7929" width="9.140625" style="6"/>
    <col min="7930" max="7930" width="2.140625" style="6" customWidth="1"/>
    <col min="7931" max="7931" width="8.7109375" style="6" customWidth="1"/>
    <col min="7932" max="7932" width="9.85546875" style="6" customWidth="1"/>
    <col min="7933" max="7933" width="1" style="6" customWidth="1"/>
    <col min="7934" max="7934" width="10.85546875" style="6" customWidth="1"/>
    <col min="7935" max="7935" width="1" style="6" customWidth="1"/>
    <col min="7936" max="7936" width="53.5703125" style="6" customWidth="1"/>
    <col min="7937" max="7938" width="22.85546875" style="6" customWidth="1"/>
    <col min="7939" max="7939" width="8.7109375" style="6" customWidth="1"/>
    <col min="7940" max="7940" width="14.140625" style="6" customWidth="1"/>
    <col min="7941" max="8185" width="9.140625" style="6"/>
    <col min="8186" max="8186" width="2.140625" style="6" customWidth="1"/>
    <col min="8187" max="8187" width="8.7109375" style="6" customWidth="1"/>
    <col min="8188" max="8188" width="9.85546875" style="6" customWidth="1"/>
    <col min="8189" max="8189" width="1" style="6" customWidth="1"/>
    <col min="8190" max="8190" width="10.85546875" style="6" customWidth="1"/>
    <col min="8191" max="8191" width="1" style="6" customWidth="1"/>
    <col min="8192" max="8192" width="53.5703125" style="6" customWidth="1"/>
    <col min="8193" max="8194" width="22.85546875" style="6" customWidth="1"/>
    <col min="8195" max="8195" width="8.7109375" style="6" customWidth="1"/>
    <col min="8196" max="8196" width="14.140625" style="6" customWidth="1"/>
    <col min="8197" max="8441" width="9.140625" style="6"/>
    <col min="8442" max="8442" width="2.140625" style="6" customWidth="1"/>
    <col min="8443" max="8443" width="8.7109375" style="6" customWidth="1"/>
    <col min="8444" max="8444" width="9.85546875" style="6" customWidth="1"/>
    <col min="8445" max="8445" width="1" style="6" customWidth="1"/>
    <col min="8446" max="8446" width="10.85546875" style="6" customWidth="1"/>
    <col min="8447" max="8447" width="1" style="6" customWidth="1"/>
    <col min="8448" max="8448" width="53.5703125" style="6" customWidth="1"/>
    <col min="8449" max="8450" width="22.85546875" style="6" customWidth="1"/>
    <col min="8451" max="8451" width="8.7109375" style="6" customWidth="1"/>
    <col min="8452" max="8452" width="14.140625" style="6" customWidth="1"/>
    <col min="8453" max="8697" width="9.140625" style="6"/>
    <col min="8698" max="8698" width="2.140625" style="6" customWidth="1"/>
    <col min="8699" max="8699" width="8.7109375" style="6" customWidth="1"/>
    <col min="8700" max="8700" width="9.85546875" style="6" customWidth="1"/>
    <col min="8701" max="8701" width="1" style="6" customWidth="1"/>
    <col min="8702" max="8702" width="10.85546875" style="6" customWidth="1"/>
    <col min="8703" max="8703" width="1" style="6" customWidth="1"/>
    <col min="8704" max="8704" width="53.5703125" style="6" customWidth="1"/>
    <col min="8705" max="8706" width="22.85546875" style="6" customWidth="1"/>
    <col min="8707" max="8707" width="8.7109375" style="6" customWidth="1"/>
    <col min="8708" max="8708" width="14.140625" style="6" customWidth="1"/>
    <col min="8709" max="8953" width="9.140625" style="6"/>
    <col min="8954" max="8954" width="2.140625" style="6" customWidth="1"/>
    <col min="8955" max="8955" width="8.7109375" style="6" customWidth="1"/>
    <col min="8956" max="8956" width="9.85546875" style="6" customWidth="1"/>
    <col min="8957" max="8957" width="1" style="6" customWidth="1"/>
    <col min="8958" max="8958" width="10.85546875" style="6" customWidth="1"/>
    <col min="8959" max="8959" width="1" style="6" customWidth="1"/>
    <col min="8960" max="8960" width="53.5703125" style="6" customWidth="1"/>
    <col min="8961" max="8962" width="22.85546875" style="6" customWidth="1"/>
    <col min="8963" max="8963" width="8.7109375" style="6" customWidth="1"/>
    <col min="8964" max="8964" width="14.140625" style="6" customWidth="1"/>
    <col min="8965" max="9209" width="9.140625" style="6"/>
    <col min="9210" max="9210" width="2.140625" style="6" customWidth="1"/>
    <col min="9211" max="9211" width="8.7109375" style="6" customWidth="1"/>
    <col min="9212" max="9212" width="9.85546875" style="6" customWidth="1"/>
    <col min="9213" max="9213" width="1" style="6" customWidth="1"/>
    <col min="9214" max="9214" width="10.85546875" style="6" customWidth="1"/>
    <col min="9215" max="9215" width="1" style="6" customWidth="1"/>
    <col min="9216" max="9216" width="53.5703125" style="6" customWidth="1"/>
    <col min="9217" max="9218" width="22.85546875" style="6" customWidth="1"/>
    <col min="9219" max="9219" width="8.7109375" style="6" customWidth="1"/>
    <col min="9220" max="9220" width="14.140625" style="6" customWidth="1"/>
    <col min="9221" max="9465" width="9.140625" style="6"/>
    <col min="9466" max="9466" width="2.140625" style="6" customWidth="1"/>
    <col min="9467" max="9467" width="8.7109375" style="6" customWidth="1"/>
    <col min="9468" max="9468" width="9.85546875" style="6" customWidth="1"/>
    <col min="9469" max="9469" width="1" style="6" customWidth="1"/>
    <col min="9470" max="9470" width="10.85546875" style="6" customWidth="1"/>
    <col min="9471" max="9471" width="1" style="6" customWidth="1"/>
    <col min="9472" max="9472" width="53.5703125" style="6" customWidth="1"/>
    <col min="9473" max="9474" width="22.85546875" style="6" customWidth="1"/>
    <col min="9475" max="9475" width="8.7109375" style="6" customWidth="1"/>
    <col min="9476" max="9476" width="14.140625" style="6" customWidth="1"/>
    <col min="9477" max="9721" width="9.140625" style="6"/>
    <col min="9722" max="9722" width="2.140625" style="6" customWidth="1"/>
    <col min="9723" max="9723" width="8.7109375" style="6" customWidth="1"/>
    <col min="9724" max="9724" width="9.85546875" style="6" customWidth="1"/>
    <col min="9725" max="9725" width="1" style="6" customWidth="1"/>
    <col min="9726" max="9726" width="10.85546875" style="6" customWidth="1"/>
    <col min="9727" max="9727" width="1" style="6" customWidth="1"/>
    <col min="9728" max="9728" width="53.5703125" style="6" customWidth="1"/>
    <col min="9729" max="9730" width="22.85546875" style="6" customWidth="1"/>
    <col min="9731" max="9731" width="8.7109375" style="6" customWidth="1"/>
    <col min="9732" max="9732" width="14.140625" style="6" customWidth="1"/>
    <col min="9733" max="9977" width="9.140625" style="6"/>
    <col min="9978" max="9978" width="2.140625" style="6" customWidth="1"/>
    <col min="9979" max="9979" width="8.7109375" style="6" customWidth="1"/>
    <col min="9980" max="9980" width="9.85546875" style="6" customWidth="1"/>
    <col min="9981" max="9981" width="1" style="6" customWidth="1"/>
    <col min="9982" max="9982" width="10.85546875" style="6" customWidth="1"/>
    <col min="9983" max="9983" width="1" style="6" customWidth="1"/>
    <col min="9984" max="9984" width="53.5703125" style="6" customWidth="1"/>
    <col min="9985" max="9986" width="22.85546875" style="6" customWidth="1"/>
    <col min="9987" max="9987" width="8.7109375" style="6" customWidth="1"/>
    <col min="9988" max="9988" width="14.140625" style="6" customWidth="1"/>
    <col min="9989" max="10233" width="9.140625" style="6"/>
    <col min="10234" max="10234" width="2.140625" style="6" customWidth="1"/>
    <col min="10235" max="10235" width="8.7109375" style="6" customWidth="1"/>
    <col min="10236" max="10236" width="9.85546875" style="6" customWidth="1"/>
    <col min="10237" max="10237" width="1" style="6" customWidth="1"/>
    <col min="10238" max="10238" width="10.85546875" style="6" customWidth="1"/>
    <col min="10239" max="10239" width="1" style="6" customWidth="1"/>
    <col min="10240" max="10240" width="53.5703125" style="6" customWidth="1"/>
    <col min="10241" max="10242" width="22.85546875" style="6" customWidth="1"/>
    <col min="10243" max="10243" width="8.7109375" style="6" customWidth="1"/>
    <col min="10244" max="10244" width="14.140625" style="6" customWidth="1"/>
    <col min="10245" max="10489" width="9.140625" style="6"/>
    <col min="10490" max="10490" width="2.140625" style="6" customWidth="1"/>
    <col min="10491" max="10491" width="8.7109375" style="6" customWidth="1"/>
    <col min="10492" max="10492" width="9.85546875" style="6" customWidth="1"/>
    <col min="10493" max="10493" width="1" style="6" customWidth="1"/>
    <col min="10494" max="10494" width="10.85546875" style="6" customWidth="1"/>
    <col min="10495" max="10495" width="1" style="6" customWidth="1"/>
    <col min="10496" max="10496" width="53.5703125" style="6" customWidth="1"/>
    <col min="10497" max="10498" width="22.85546875" style="6" customWidth="1"/>
    <col min="10499" max="10499" width="8.7109375" style="6" customWidth="1"/>
    <col min="10500" max="10500" width="14.140625" style="6" customWidth="1"/>
    <col min="10501" max="10745" width="9.140625" style="6"/>
    <col min="10746" max="10746" width="2.140625" style="6" customWidth="1"/>
    <col min="10747" max="10747" width="8.7109375" style="6" customWidth="1"/>
    <col min="10748" max="10748" width="9.85546875" style="6" customWidth="1"/>
    <col min="10749" max="10749" width="1" style="6" customWidth="1"/>
    <col min="10750" max="10750" width="10.85546875" style="6" customWidth="1"/>
    <col min="10751" max="10751" width="1" style="6" customWidth="1"/>
    <col min="10752" max="10752" width="53.5703125" style="6" customWidth="1"/>
    <col min="10753" max="10754" width="22.85546875" style="6" customWidth="1"/>
    <col min="10755" max="10755" width="8.7109375" style="6" customWidth="1"/>
    <col min="10756" max="10756" width="14.140625" style="6" customWidth="1"/>
    <col min="10757" max="11001" width="9.140625" style="6"/>
    <col min="11002" max="11002" width="2.140625" style="6" customWidth="1"/>
    <col min="11003" max="11003" width="8.7109375" style="6" customWidth="1"/>
    <col min="11004" max="11004" width="9.85546875" style="6" customWidth="1"/>
    <col min="11005" max="11005" width="1" style="6" customWidth="1"/>
    <col min="11006" max="11006" width="10.85546875" style="6" customWidth="1"/>
    <col min="11007" max="11007" width="1" style="6" customWidth="1"/>
    <col min="11008" max="11008" width="53.5703125" style="6" customWidth="1"/>
    <col min="11009" max="11010" width="22.85546875" style="6" customWidth="1"/>
    <col min="11011" max="11011" width="8.7109375" style="6" customWidth="1"/>
    <col min="11012" max="11012" width="14.140625" style="6" customWidth="1"/>
    <col min="11013" max="11257" width="9.140625" style="6"/>
    <col min="11258" max="11258" width="2.140625" style="6" customWidth="1"/>
    <col min="11259" max="11259" width="8.7109375" style="6" customWidth="1"/>
    <col min="11260" max="11260" width="9.85546875" style="6" customWidth="1"/>
    <col min="11261" max="11261" width="1" style="6" customWidth="1"/>
    <col min="11262" max="11262" width="10.85546875" style="6" customWidth="1"/>
    <col min="11263" max="11263" width="1" style="6" customWidth="1"/>
    <col min="11264" max="11264" width="53.5703125" style="6" customWidth="1"/>
    <col min="11265" max="11266" width="22.85546875" style="6" customWidth="1"/>
    <col min="11267" max="11267" width="8.7109375" style="6" customWidth="1"/>
    <col min="11268" max="11268" width="14.140625" style="6" customWidth="1"/>
    <col min="11269" max="11513" width="9.140625" style="6"/>
    <col min="11514" max="11514" width="2.140625" style="6" customWidth="1"/>
    <col min="11515" max="11515" width="8.7109375" style="6" customWidth="1"/>
    <col min="11516" max="11516" width="9.85546875" style="6" customWidth="1"/>
    <col min="11517" max="11517" width="1" style="6" customWidth="1"/>
    <col min="11518" max="11518" width="10.85546875" style="6" customWidth="1"/>
    <col min="11519" max="11519" width="1" style="6" customWidth="1"/>
    <col min="11520" max="11520" width="53.5703125" style="6" customWidth="1"/>
    <col min="11521" max="11522" width="22.85546875" style="6" customWidth="1"/>
    <col min="11523" max="11523" width="8.7109375" style="6" customWidth="1"/>
    <col min="11524" max="11524" width="14.140625" style="6" customWidth="1"/>
    <col min="11525" max="11769" width="9.140625" style="6"/>
    <col min="11770" max="11770" width="2.140625" style="6" customWidth="1"/>
    <col min="11771" max="11771" width="8.7109375" style="6" customWidth="1"/>
    <col min="11772" max="11772" width="9.85546875" style="6" customWidth="1"/>
    <col min="11773" max="11773" width="1" style="6" customWidth="1"/>
    <col min="11774" max="11774" width="10.85546875" style="6" customWidth="1"/>
    <col min="11775" max="11775" width="1" style="6" customWidth="1"/>
    <col min="11776" max="11776" width="53.5703125" style="6" customWidth="1"/>
    <col min="11777" max="11778" width="22.85546875" style="6" customWidth="1"/>
    <col min="11779" max="11779" width="8.7109375" style="6" customWidth="1"/>
    <col min="11780" max="11780" width="14.140625" style="6" customWidth="1"/>
    <col min="11781" max="12025" width="9.140625" style="6"/>
    <col min="12026" max="12026" width="2.140625" style="6" customWidth="1"/>
    <col min="12027" max="12027" width="8.7109375" style="6" customWidth="1"/>
    <col min="12028" max="12028" width="9.85546875" style="6" customWidth="1"/>
    <col min="12029" max="12029" width="1" style="6" customWidth="1"/>
    <col min="12030" max="12030" width="10.85546875" style="6" customWidth="1"/>
    <col min="12031" max="12031" width="1" style="6" customWidth="1"/>
    <col min="12032" max="12032" width="53.5703125" style="6" customWidth="1"/>
    <col min="12033" max="12034" width="22.85546875" style="6" customWidth="1"/>
    <col min="12035" max="12035" width="8.7109375" style="6" customWidth="1"/>
    <col min="12036" max="12036" width="14.140625" style="6" customWidth="1"/>
    <col min="12037" max="12281" width="9.140625" style="6"/>
    <col min="12282" max="12282" width="2.140625" style="6" customWidth="1"/>
    <col min="12283" max="12283" width="8.7109375" style="6" customWidth="1"/>
    <col min="12284" max="12284" width="9.85546875" style="6" customWidth="1"/>
    <col min="12285" max="12285" width="1" style="6" customWidth="1"/>
    <col min="12286" max="12286" width="10.85546875" style="6" customWidth="1"/>
    <col min="12287" max="12287" width="1" style="6" customWidth="1"/>
    <col min="12288" max="12288" width="53.5703125" style="6" customWidth="1"/>
    <col min="12289" max="12290" width="22.85546875" style="6" customWidth="1"/>
    <col min="12291" max="12291" width="8.7109375" style="6" customWidth="1"/>
    <col min="12292" max="12292" width="14.140625" style="6" customWidth="1"/>
    <col min="12293" max="12537" width="9.140625" style="6"/>
    <col min="12538" max="12538" width="2.140625" style="6" customWidth="1"/>
    <col min="12539" max="12539" width="8.7109375" style="6" customWidth="1"/>
    <col min="12540" max="12540" width="9.85546875" style="6" customWidth="1"/>
    <col min="12541" max="12541" width="1" style="6" customWidth="1"/>
    <col min="12542" max="12542" width="10.85546875" style="6" customWidth="1"/>
    <col min="12543" max="12543" width="1" style="6" customWidth="1"/>
    <col min="12544" max="12544" width="53.5703125" style="6" customWidth="1"/>
    <col min="12545" max="12546" width="22.85546875" style="6" customWidth="1"/>
    <col min="12547" max="12547" width="8.7109375" style="6" customWidth="1"/>
    <col min="12548" max="12548" width="14.140625" style="6" customWidth="1"/>
    <col min="12549" max="12793" width="9.140625" style="6"/>
    <col min="12794" max="12794" width="2.140625" style="6" customWidth="1"/>
    <col min="12795" max="12795" width="8.7109375" style="6" customWidth="1"/>
    <col min="12796" max="12796" width="9.85546875" style="6" customWidth="1"/>
    <col min="12797" max="12797" width="1" style="6" customWidth="1"/>
    <col min="12798" max="12798" width="10.85546875" style="6" customWidth="1"/>
    <col min="12799" max="12799" width="1" style="6" customWidth="1"/>
    <col min="12800" max="12800" width="53.5703125" style="6" customWidth="1"/>
    <col min="12801" max="12802" width="22.85546875" style="6" customWidth="1"/>
    <col min="12803" max="12803" width="8.7109375" style="6" customWidth="1"/>
    <col min="12804" max="12804" width="14.140625" style="6" customWidth="1"/>
    <col min="12805" max="13049" width="9.140625" style="6"/>
    <col min="13050" max="13050" width="2.140625" style="6" customWidth="1"/>
    <col min="13051" max="13051" width="8.7109375" style="6" customWidth="1"/>
    <col min="13052" max="13052" width="9.85546875" style="6" customWidth="1"/>
    <col min="13053" max="13053" width="1" style="6" customWidth="1"/>
    <col min="13054" max="13054" width="10.85546875" style="6" customWidth="1"/>
    <col min="13055" max="13055" width="1" style="6" customWidth="1"/>
    <col min="13056" max="13056" width="53.5703125" style="6" customWidth="1"/>
    <col min="13057" max="13058" width="22.85546875" style="6" customWidth="1"/>
    <col min="13059" max="13059" width="8.7109375" style="6" customWidth="1"/>
    <col min="13060" max="13060" width="14.140625" style="6" customWidth="1"/>
    <col min="13061" max="13305" width="9.140625" style="6"/>
    <col min="13306" max="13306" width="2.140625" style="6" customWidth="1"/>
    <col min="13307" max="13307" width="8.7109375" style="6" customWidth="1"/>
    <col min="13308" max="13308" width="9.85546875" style="6" customWidth="1"/>
    <col min="13309" max="13309" width="1" style="6" customWidth="1"/>
    <col min="13310" max="13310" width="10.85546875" style="6" customWidth="1"/>
    <col min="13311" max="13311" width="1" style="6" customWidth="1"/>
    <col min="13312" max="13312" width="53.5703125" style="6" customWidth="1"/>
    <col min="13313" max="13314" width="22.85546875" style="6" customWidth="1"/>
    <col min="13315" max="13315" width="8.7109375" style="6" customWidth="1"/>
    <col min="13316" max="13316" width="14.140625" style="6" customWidth="1"/>
    <col min="13317" max="13561" width="9.140625" style="6"/>
    <col min="13562" max="13562" width="2.140625" style="6" customWidth="1"/>
    <col min="13563" max="13563" width="8.7109375" style="6" customWidth="1"/>
    <col min="13564" max="13564" width="9.85546875" style="6" customWidth="1"/>
    <col min="13565" max="13565" width="1" style="6" customWidth="1"/>
    <col min="13566" max="13566" width="10.85546875" style="6" customWidth="1"/>
    <col min="13567" max="13567" width="1" style="6" customWidth="1"/>
    <col min="13568" max="13568" width="53.5703125" style="6" customWidth="1"/>
    <col min="13569" max="13570" width="22.85546875" style="6" customWidth="1"/>
    <col min="13571" max="13571" width="8.7109375" style="6" customWidth="1"/>
    <col min="13572" max="13572" width="14.140625" style="6" customWidth="1"/>
    <col min="13573" max="13817" width="9.140625" style="6"/>
    <col min="13818" max="13818" width="2.140625" style="6" customWidth="1"/>
    <col min="13819" max="13819" width="8.7109375" style="6" customWidth="1"/>
    <col min="13820" max="13820" width="9.85546875" style="6" customWidth="1"/>
    <col min="13821" max="13821" width="1" style="6" customWidth="1"/>
    <col min="13822" max="13822" width="10.85546875" style="6" customWidth="1"/>
    <col min="13823" max="13823" width="1" style="6" customWidth="1"/>
    <col min="13824" max="13824" width="53.5703125" style="6" customWidth="1"/>
    <col min="13825" max="13826" width="22.85546875" style="6" customWidth="1"/>
    <col min="13827" max="13827" width="8.7109375" style="6" customWidth="1"/>
    <col min="13828" max="13828" width="14.140625" style="6" customWidth="1"/>
    <col min="13829" max="14073" width="9.140625" style="6"/>
    <col min="14074" max="14074" width="2.140625" style="6" customWidth="1"/>
    <col min="14075" max="14075" width="8.7109375" style="6" customWidth="1"/>
    <col min="14076" max="14076" width="9.85546875" style="6" customWidth="1"/>
    <col min="14077" max="14077" width="1" style="6" customWidth="1"/>
    <col min="14078" max="14078" width="10.85546875" style="6" customWidth="1"/>
    <col min="14079" max="14079" width="1" style="6" customWidth="1"/>
    <col min="14080" max="14080" width="53.5703125" style="6" customWidth="1"/>
    <col min="14081" max="14082" width="22.85546875" style="6" customWidth="1"/>
    <col min="14083" max="14083" width="8.7109375" style="6" customWidth="1"/>
    <col min="14084" max="14084" width="14.140625" style="6" customWidth="1"/>
    <col min="14085" max="14329" width="9.140625" style="6"/>
    <col min="14330" max="14330" width="2.140625" style="6" customWidth="1"/>
    <col min="14331" max="14331" width="8.7109375" style="6" customWidth="1"/>
    <col min="14332" max="14332" width="9.85546875" style="6" customWidth="1"/>
    <col min="14333" max="14333" width="1" style="6" customWidth="1"/>
    <col min="14334" max="14334" width="10.85546875" style="6" customWidth="1"/>
    <col min="14335" max="14335" width="1" style="6" customWidth="1"/>
    <col min="14336" max="14336" width="53.5703125" style="6" customWidth="1"/>
    <col min="14337" max="14338" width="22.85546875" style="6" customWidth="1"/>
    <col min="14339" max="14339" width="8.7109375" style="6" customWidth="1"/>
    <col min="14340" max="14340" width="14.140625" style="6" customWidth="1"/>
    <col min="14341" max="14585" width="9.140625" style="6"/>
    <col min="14586" max="14586" width="2.140625" style="6" customWidth="1"/>
    <col min="14587" max="14587" width="8.7109375" style="6" customWidth="1"/>
    <col min="14588" max="14588" width="9.85546875" style="6" customWidth="1"/>
    <col min="14589" max="14589" width="1" style="6" customWidth="1"/>
    <col min="14590" max="14590" width="10.85546875" style="6" customWidth="1"/>
    <col min="14591" max="14591" width="1" style="6" customWidth="1"/>
    <col min="14592" max="14592" width="53.5703125" style="6" customWidth="1"/>
    <col min="14593" max="14594" width="22.85546875" style="6" customWidth="1"/>
    <col min="14595" max="14595" width="8.7109375" style="6" customWidth="1"/>
    <col min="14596" max="14596" width="14.140625" style="6" customWidth="1"/>
    <col min="14597" max="14841" width="9.140625" style="6"/>
    <col min="14842" max="14842" width="2.140625" style="6" customWidth="1"/>
    <col min="14843" max="14843" width="8.7109375" style="6" customWidth="1"/>
    <col min="14844" max="14844" width="9.85546875" style="6" customWidth="1"/>
    <col min="14845" max="14845" width="1" style="6" customWidth="1"/>
    <col min="14846" max="14846" width="10.85546875" style="6" customWidth="1"/>
    <col min="14847" max="14847" width="1" style="6" customWidth="1"/>
    <col min="14848" max="14848" width="53.5703125" style="6" customWidth="1"/>
    <col min="14849" max="14850" width="22.85546875" style="6" customWidth="1"/>
    <col min="14851" max="14851" width="8.7109375" style="6" customWidth="1"/>
    <col min="14852" max="14852" width="14.140625" style="6" customWidth="1"/>
    <col min="14853" max="15097" width="9.140625" style="6"/>
    <col min="15098" max="15098" width="2.140625" style="6" customWidth="1"/>
    <col min="15099" max="15099" width="8.7109375" style="6" customWidth="1"/>
    <col min="15100" max="15100" width="9.85546875" style="6" customWidth="1"/>
    <col min="15101" max="15101" width="1" style="6" customWidth="1"/>
    <col min="15102" max="15102" width="10.85546875" style="6" customWidth="1"/>
    <col min="15103" max="15103" width="1" style="6" customWidth="1"/>
    <col min="15104" max="15104" width="53.5703125" style="6" customWidth="1"/>
    <col min="15105" max="15106" width="22.85546875" style="6" customWidth="1"/>
    <col min="15107" max="15107" width="8.7109375" style="6" customWidth="1"/>
    <col min="15108" max="15108" width="14.140625" style="6" customWidth="1"/>
    <col min="15109" max="15353" width="9.140625" style="6"/>
    <col min="15354" max="15354" width="2.140625" style="6" customWidth="1"/>
    <col min="15355" max="15355" width="8.7109375" style="6" customWidth="1"/>
    <col min="15356" max="15356" width="9.85546875" style="6" customWidth="1"/>
    <col min="15357" max="15357" width="1" style="6" customWidth="1"/>
    <col min="15358" max="15358" width="10.85546875" style="6" customWidth="1"/>
    <col min="15359" max="15359" width="1" style="6" customWidth="1"/>
    <col min="15360" max="15360" width="53.5703125" style="6" customWidth="1"/>
    <col min="15361" max="15362" width="22.85546875" style="6" customWidth="1"/>
    <col min="15363" max="15363" width="8.7109375" style="6" customWidth="1"/>
    <col min="15364" max="15364" width="14.140625" style="6" customWidth="1"/>
    <col min="15365" max="15609" width="9.140625" style="6"/>
    <col min="15610" max="15610" width="2.140625" style="6" customWidth="1"/>
    <col min="15611" max="15611" width="8.7109375" style="6" customWidth="1"/>
    <col min="15612" max="15612" width="9.85546875" style="6" customWidth="1"/>
    <col min="15613" max="15613" width="1" style="6" customWidth="1"/>
    <col min="15614" max="15614" width="10.85546875" style="6" customWidth="1"/>
    <col min="15615" max="15615" width="1" style="6" customWidth="1"/>
    <col min="15616" max="15616" width="53.5703125" style="6" customWidth="1"/>
    <col min="15617" max="15618" width="22.85546875" style="6" customWidth="1"/>
    <col min="15619" max="15619" width="8.7109375" style="6" customWidth="1"/>
    <col min="15620" max="15620" width="14.140625" style="6" customWidth="1"/>
    <col min="15621" max="15865" width="9.140625" style="6"/>
    <col min="15866" max="15866" width="2.140625" style="6" customWidth="1"/>
    <col min="15867" max="15867" width="8.7109375" style="6" customWidth="1"/>
    <col min="15868" max="15868" width="9.85546875" style="6" customWidth="1"/>
    <col min="15869" max="15869" width="1" style="6" customWidth="1"/>
    <col min="15870" max="15870" width="10.85546875" style="6" customWidth="1"/>
    <col min="15871" max="15871" width="1" style="6" customWidth="1"/>
    <col min="15872" max="15872" width="53.5703125" style="6" customWidth="1"/>
    <col min="15873" max="15874" width="22.85546875" style="6" customWidth="1"/>
    <col min="15875" max="15875" width="8.7109375" style="6" customWidth="1"/>
    <col min="15876" max="15876" width="14.140625" style="6" customWidth="1"/>
    <col min="15877" max="16121" width="9.140625" style="6"/>
    <col min="16122" max="16122" width="2.140625" style="6" customWidth="1"/>
    <col min="16123" max="16123" width="8.7109375" style="6" customWidth="1"/>
    <col min="16124" max="16124" width="9.85546875" style="6" customWidth="1"/>
    <col min="16125" max="16125" width="1" style="6" customWidth="1"/>
    <col min="16126" max="16126" width="10.85546875" style="6" customWidth="1"/>
    <col min="16127" max="16127" width="1" style="6" customWidth="1"/>
    <col min="16128" max="16128" width="53.5703125" style="6" customWidth="1"/>
    <col min="16129" max="16130" width="22.85546875" style="6" customWidth="1"/>
    <col min="16131" max="16131" width="8.7109375" style="6" customWidth="1"/>
    <col min="16132" max="16132" width="14.140625" style="6" customWidth="1"/>
    <col min="16133" max="16384" width="9.140625" style="6"/>
  </cols>
  <sheetData>
    <row r="1" spans="1:12" ht="22.5" customHeight="1" x14ac:dyDescent="0.2">
      <c r="A1" s="1843"/>
      <c r="B1" s="1843"/>
      <c r="C1" s="1843"/>
      <c r="D1" s="1843"/>
      <c r="E1" s="1843"/>
      <c r="F1" s="1843"/>
      <c r="G1" s="1843"/>
      <c r="H1" s="1339" t="s">
        <v>1488</v>
      </c>
    </row>
    <row r="2" spans="1:12" ht="42" customHeight="1" x14ac:dyDescent="0.2">
      <c r="A2" s="1845" t="s">
        <v>1489</v>
      </c>
      <c r="B2" s="1845"/>
      <c r="C2" s="1845"/>
      <c r="D2" s="1845"/>
      <c r="E2" s="1845"/>
      <c r="F2" s="1845"/>
      <c r="G2" s="1845"/>
      <c r="H2" s="1845"/>
      <c r="I2" s="1845"/>
      <c r="J2" s="1845"/>
      <c r="K2" s="1338"/>
      <c r="L2" s="1338"/>
    </row>
    <row r="3" spans="1:12" ht="45" x14ac:dyDescent="0.2">
      <c r="A3" s="7" t="s">
        <v>0</v>
      </c>
      <c r="B3" s="7" t="s">
        <v>1</v>
      </c>
      <c r="C3" s="7" t="s">
        <v>2</v>
      </c>
      <c r="D3" s="7" t="s">
        <v>3</v>
      </c>
      <c r="E3" s="1335" t="s">
        <v>1486</v>
      </c>
      <c r="F3" s="1336" t="s">
        <v>4</v>
      </c>
      <c r="G3" s="1349" t="s">
        <v>1485</v>
      </c>
      <c r="H3" s="1350" t="s">
        <v>1456</v>
      </c>
      <c r="I3" s="1347" t="s">
        <v>1457</v>
      </c>
      <c r="J3" s="1337" t="s">
        <v>1487</v>
      </c>
    </row>
    <row r="4" spans="1:12" x14ac:dyDescent="0.2">
      <c r="A4" s="1640" t="s">
        <v>5</v>
      </c>
      <c r="B4" s="1640"/>
      <c r="C4" s="1640"/>
      <c r="D4" s="1641" t="s">
        <v>6</v>
      </c>
      <c r="E4" s="1642">
        <f>E5+E7+E9+E11</f>
        <v>129541.55</v>
      </c>
      <c r="F4" s="1643">
        <f t="shared" ref="F4:J4" si="0">F5+F7+F9+F11</f>
        <v>1070965.74</v>
      </c>
      <c r="G4" s="1644">
        <f t="shared" si="0"/>
        <v>1200507.29</v>
      </c>
      <c r="H4" s="1644">
        <f t="shared" si="0"/>
        <v>1196437.74</v>
      </c>
      <c r="I4" s="1646">
        <f>H4/G4</f>
        <v>0.99661014136782122</v>
      </c>
      <c r="J4" s="1642">
        <f t="shared" si="0"/>
        <v>683</v>
      </c>
    </row>
    <row r="5" spans="1:12" ht="15" x14ac:dyDescent="0.2">
      <c r="A5" s="8"/>
      <c r="B5" s="1632" t="s">
        <v>329</v>
      </c>
      <c r="C5" s="1633"/>
      <c r="D5" s="1634" t="s">
        <v>330</v>
      </c>
      <c r="E5" s="1635">
        <f>E6</f>
        <v>20000</v>
      </c>
      <c r="F5" s="1636">
        <f t="shared" ref="F5:J5" si="1">F6</f>
        <v>0</v>
      </c>
      <c r="G5" s="1637" t="str">
        <f t="shared" si="1"/>
        <v>20 000,00</v>
      </c>
      <c r="H5" s="1637">
        <f t="shared" si="1"/>
        <v>20000</v>
      </c>
      <c r="I5" s="1638">
        <f>H5/G5</f>
        <v>1</v>
      </c>
      <c r="J5" s="1635">
        <f t="shared" si="1"/>
        <v>0</v>
      </c>
    </row>
    <row r="6" spans="1:12" ht="45" x14ac:dyDescent="0.2">
      <c r="A6" s="9"/>
      <c r="B6" s="9"/>
      <c r="C6" s="10" t="s">
        <v>331</v>
      </c>
      <c r="D6" s="11" t="s">
        <v>332</v>
      </c>
      <c r="E6" s="1345">
        <v>20000</v>
      </c>
      <c r="F6" s="1343">
        <f>G6-E6</f>
        <v>0</v>
      </c>
      <c r="G6" s="1351" t="s">
        <v>102</v>
      </c>
      <c r="H6" s="1352">
        <v>20000</v>
      </c>
      <c r="I6" s="1348">
        <f>H6/G6</f>
        <v>1</v>
      </c>
      <c r="J6" s="1344">
        <v>0</v>
      </c>
    </row>
    <row r="7" spans="1:12" ht="15" x14ac:dyDescent="0.2">
      <c r="A7" s="8"/>
      <c r="B7" s="1632" t="s">
        <v>333</v>
      </c>
      <c r="C7" s="1633"/>
      <c r="D7" s="1634" t="s">
        <v>334</v>
      </c>
      <c r="E7" s="1635">
        <f>E8</f>
        <v>0</v>
      </c>
      <c r="F7" s="1636">
        <f t="shared" ref="F7:J7" si="2">F8</f>
        <v>300000</v>
      </c>
      <c r="G7" s="1637" t="str">
        <f t="shared" si="2"/>
        <v>300 000,00</v>
      </c>
      <c r="H7" s="1637">
        <f t="shared" si="2"/>
        <v>300000</v>
      </c>
      <c r="I7" s="1639">
        <f t="shared" ref="I7:I70" si="3">H7/G7</f>
        <v>1</v>
      </c>
      <c r="J7" s="1635">
        <f t="shared" si="2"/>
        <v>0</v>
      </c>
    </row>
    <row r="8" spans="1:12" ht="45" x14ac:dyDescent="0.2">
      <c r="A8" s="9"/>
      <c r="B8" s="9"/>
      <c r="C8" s="10" t="s">
        <v>335</v>
      </c>
      <c r="D8" s="11" t="s">
        <v>336</v>
      </c>
      <c r="E8" s="1345">
        <v>0</v>
      </c>
      <c r="F8" s="1343">
        <f>G8-E8</f>
        <v>300000</v>
      </c>
      <c r="G8" s="1351" t="s">
        <v>152</v>
      </c>
      <c r="H8" s="1352">
        <v>300000</v>
      </c>
      <c r="I8" s="1348">
        <f t="shared" si="3"/>
        <v>1</v>
      </c>
      <c r="J8" s="1344">
        <v>0</v>
      </c>
    </row>
    <row r="9" spans="1:12" ht="15" x14ac:dyDescent="0.2">
      <c r="A9" s="8"/>
      <c r="B9" s="1632" t="s">
        <v>337</v>
      </c>
      <c r="C9" s="1633"/>
      <c r="D9" s="1634" t="s">
        <v>338</v>
      </c>
      <c r="E9" s="1635">
        <f>E10</f>
        <v>17000</v>
      </c>
      <c r="F9" s="1636">
        <f t="shared" ref="F9:J9" si="4">F10</f>
        <v>0</v>
      </c>
      <c r="G9" s="1637" t="str">
        <f t="shared" si="4"/>
        <v>17 000,00</v>
      </c>
      <c r="H9" s="1637">
        <f t="shared" si="4"/>
        <v>13978</v>
      </c>
      <c r="I9" s="1639">
        <f t="shared" si="3"/>
        <v>0.82223529411764706</v>
      </c>
      <c r="J9" s="1635">
        <f t="shared" si="4"/>
        <v>683</v>
      </c>
    </row>
    <row r="10" spans="1:12" ht="22.5" x14ac:dyDescent="0.2">
      <c r="A10" s="9"/>
      <c r="B10" s="9"/>
      <c r="C10" s="10" t="s">
        <v>340</v>
      </c>
      <c r="D10" s="11" t="s">
        <v>341</v>
      </c>
      <c r="E10" s="1345">
        <v>17000</v>
      </c>
      <c r="F10" s="1343">
        <f>G10-E10</f>
        <v>0</v>
      </c>
      <c r="G10" s="1351" t="s">
        <v>339</v>
      </c>
      <c r="H10" s="1352">
        <v>13978</v>
      </c>
      <c r="I10" s="1348">
        <f t="shared" si="3"/>
        <v>0.82223529411764706</v>
      </c>
      <c r="J10" s="1344">
        <v>683</v>
      </c>
    </row>
    <row r="11" spans="1:12" ht="15" x14ac:dyDescent="0.2">
      <c r="A11" s="8"/>
      <c r="B11" s="1632" t="s">
        <v>13</v>
      </c>
      <c r="C11" s="1633"/>
      <c r="D11" s="1634" t="s">
        <v>14</v>
      </c>
      <c r="E11" s="1635">
        <f>E12+E13+E14+E15+E16+E17+E18</f>
        <v>92541.55</v>
      </c>
      <c r="F11" s="1636">
        <f t="shared" ref="F11:J11" si="5">F12+F13+F14+F15+F16+F17+F18</f>
        <v>770965.74</v>
      </c>
      <c r="G11" s="1637">
        <f t="shared" si="5"/>
        <v>863507.29</v>
      </c>
      <c r="H11" s="1637">
        <f t="shared" si="5"/>
        <v>862459.74</v>
      </c>
      <c r="I11" s="1639">
        <f t="shared" si="3"/>
        <v>0.99878686606108436</v>
      </c>
      <c r="J11" s="1635">
        <f t="shared" si="5"/>
        <v>0</v>
      </c>
    </row>
    <row r="12" spans="1:12" x14ac:dyDescent="0.2">
      <c r="A12" s="9"/>
      <c r="B12" s="9"/>
      <c r="C12" s="10" t="s">
        <v>342</v>
      </c>
      <c r="D12" s="11" t="s">
        <v>343</v>
      </c>
      <c r="E12" s="1345">
        <v>0</v>
      </c>
      <c r="F12" s="1343">
        <f>G12-E12</f>
        <v>7723.36</v>
      </c>
      <c r="G12" s="1351" t="s">
        <v>344</v>
      </c>
      <c r="H12" s="1352">
        <v>7723.36</v>
      </c>
      <c r="I12" s="1348">
        <f t="shared" si="3"/>
        <v>1</v>
      </c>
      <c r="J12" s="1344">
        <v>0</v>
      </c>
    </row>
    <row r="13" spans="1:12" x14ac:dyDescent="0.2">
      <c r="A13" s="9"/>
      <c r="B13" s="9"/>
      <c r="C13" s="10" t="s">
        <v>345</v>
      </c>
      <c r="D13" s="11" t="s">
        <v>346</v>
      </c>
      <c r="E13" s="1345">
        <v>0</v>
      </c>
      <c r="F13" s="1343">
        <f t="shared" ref="F13:F18" si="6">G13-E13</f>
        <v>1327.65</v>
      </c>
      <c r="G13" s="1351" t="s">
        <v>347</v>
      </c>
      <c r="H13" s="1352">
        <v>1327.65</v>
      </c>
      <c r="I13" s="1348">
        <f t="shared" si="3"/>
        <v>1</v>
      </c>
      <c r="J13" s="1344">
        <v>0</v>
      </c>
    </row>
    <row r="14" spans="1:12" x14ac:dyDescent="0.2">
      <c r="A14" s="9"/>
      <c r="B14" s="9"/>
      <c r="C14" s="10" t="s">
        <v>348</v>
      </c>
      <c r="D14" s="11" t="s">
        <v>349</v>
      </c>
      <c r="E14" s="1345">
        <v>0</v>
      </c>
      <c r="F14" s="1343">
        <f t="shared" si="6"/>
        <v>186.48</v>
      </c>
      <c r="G14" s="1351" t="s">
        <v>350</v>
      </c>
      <c r="H14" s="1352">
        <v>186.48</v>
      </c>
      <c r="I14" s="1348">
        <f t="shared" si="3"/>
        <v>1</v>
      </c>
      <c r="J14" s="1344">
        <v>0</v>
      </c>
    </row>
    <row r="15" spans="1:12" x14ac:dyDescent="0.2">
      <c r="A15" s="9"/>
      <c r="B15" s="9"/>
      <c r="C15" s="10" t="s">
        <v>351</v>
      </c>
      <c r="D15" s="11" t="s">
        <v>352</v>
      </c>
      <c r="E15" s="1345">
        <v>6541.55</v>
      </c>
      <c r="F15" s="1343">
        <f t="shared" si="6"/>
        <v>93.470000000000255</v>
      </c>
      <c r="G15" s="1351" t="s">
        <v>353</v>
      </c>
      <c r="H15" s="1352">
        <v>6593.47</v>
      </c>
      <c r="I15" s="1348">
        <f t="shared" si="3"/>
        <v>0.99373777320942513</v>
      </c>
      <c r="J15" s="1344">
        <v>0</v>
      </c>
    </row>
    <row r="16" spans="1:12" x14ac:dyDescent="0.2">
      <c r="A16" s="9"/>
      <c r="B16" s="9"/>
      <c r="C16" s="10" t="s">
        <v>354</v>
      </c>
      <c r="D16" s="11" t="s">
        <v>355</v>
      </c>
      <c r="E16" s="1345">
        <v>76000</v>
      </c>
      <c r="F16" s="1343">
        <f t="shared" si="6"/>
        <v>-56763</v>
      </c>
      <c r="G16" s="1351" t="s">
        <v>356</v>
      </c>
      <c r="H16" s="1352">
        <v>18231</v>
      </c>
      <c r="I16" s="1348">
        <f t="shared" si="3"/>
        <v>0.94770494359827417</v>
      </c>
      <c r="J16" s="1344">
        <v>0</v>
      </c>
    </row>
    <row r="17" spans="1:10" x14ac:dyDescent="0.2">
      <c r="A17" s="9"/>
      <c r="B17" s="9"/>
      <c r="C17" s="10" t="s">
        <v>357</v>
      </c>
      <c r="D17" s="11" t="s">
        <v>358</v>
      </c>
      <c r="E17" s="1345">
        <v>0</v>
      </c>
      <c r="F17" s="1343">
        <f t="shared" si="6"/>
        <v>828397.78</v>
      </c>
      <c r="G17" s="1351" t="s">
        <v>359</v>
      </c>
      <c r="H17" s="1352">
        <v>828397.78</v>
      </c>
      <c r="I17" s="1348">
        <f t="shared" si="3"/>
        <v>1</v>
      </c>
      <c r="J17" s="1344">
        <v>0</v>
      </c>
    </row>
    <row r="18" spans="1:10" x14ac:dyDescent="0.2">
      <c r="A18" s="9"/>
      <c r="B18" s="9"/>
      <c r="C18" s="10" t="s">
        <v>360</v>
      </c>
      <c r="D18" s="11" t="s">
        <v>361</v>
      </c>
      <c r="E18" s="1345">
        <v>10000</v>
      </c>
      <c r="F18" s="1343">
        <f t="shared" si="6"/>
        <v>-10000</v>
      </c>
      <c r="G18" s="1351" t="s">
        <v>7</v>
      </c>
      <c r="H18" s="1352">
        <v>0</v>
      </c>
      <c r="I18" s="1348">
        <v>0</v>
      </c>
      <c r="J18" s="1344">
        <v>0</v>
      </c>
    </row>
    <row r="19" spans="1:10" x14ac:dyDescent="0.2">
      <c r="A19" s="1640" t="s">
        <v>21</v>
      </c>
      <c r="B19" s="1640"/>
      <c r="C19" s="1640"/>
      <c r="D19" s="1641" t="s">
        <v>22</v>
      </c>
      <c r="E19" s="1642">
        <f>E20</f>
        <v>25000</v>
      </c>
      <c r="F19" s="1643">
        <f t="shared" ref="F19:J19" si="7">F20</f>
        <v>0</v>
      </c>
      <c r="G19" s="1644">
        <f t="shared" si="7"/>
        <v>25000</v>
      </c>
      <c r="H19" s="1644">
        <f t="shared" si="7"/>
        <v>17108.28</v>
      </c>
      <c r="I19" s="1645">
        <f t="shared" si="3"/>
        <v>0.68433119999999992</v>
      </c>
      <c r="J19" s="1642">
        <f t="shared" si="7"/>
        <v>13.13</v>
      </c>
    </row>
    <row r="20" spans="1:10" ht="15" x14ac:dyDescent="0.2">
      <c r="A20" s="8"/>
      <c r="B20" s="1632" t="s">
        <v>24</v>
      </c>
      <c r="C20" s="1633"/>
      <c r="D20" s="1634" t="s">
        <v>14</v>
      </c>
      <c r="E20" s="1635">
        <f>E21+E22+E23+E24+E25</f>
        <v>25000</v>
      </c>
      <c r="F20" s="1636">
        <f t="shared" ref="F20:J20" si="8">F21+F22+F23+F24+F25</f>
        <v>0</v>
      </c>
      <c r="G20" s="1637">
        <f t="shared" si="8"/>
        <v>25000</v>
      </c>
      <c r="H20" s="1637">
        <f t="shared" si="8"/>
        <v>17108.28</v>
      </c>
      <c r="I20" s="1639">
        <f t="shared" si="3"/>
        <v>0.68433119999999992</v>
      </c>
      <c r="J20" s="1635">
        <f t="shared" si="8"/>
        <v>13.13</v>
      </c>
    </row>
    <row r="21" spans="1:10" x14ac:dyDescent="0.2">
      <c r="A21" s="9"/>
      <c r="B21" s="9"/>
      <c r="C21" s="10" t="s">
        <v>345</v>
      </c>
      <c r="D21" s="11" t="s">
        <v>346</v>
      </c>
      <c r="E21" s="1345">
        <v>520</v>
      </c>
      <c r="F21" s="1343">
        <f>G21-E21</f>
        <v>215</v>
      </c>
      <c r="G21" s="1351" t="s">
        <v>362</v>
      </c>
      <c r="H21" s="1352">
        <v>730.58</v>
      </c>
      <c r="I21" s="1348">
        <f t="shared" si="3"/>
        <v>0.99398639455782323</v>
      </c>
      <c r="J21" s="1344">
        <v>0</v>
      </c>
    </row>
    <row r="22" spans="1:10" x14ac:dyDescent="0.2">
      <c r="A22" s="9"/>
      <c r="B22" s="9"/>
      <c r="C22" s="10" t="s">
        <v>363</v>
      </c>
      <c r="D22" s="11" t="s">
        <v>364</v>
      </c>
      <c r="E22" s="1345">
        <v>3000</v>
      </c>
      <c r="F22" s="1343">
        <f t="shared" ref="F22:F25" si="9">G22-E22</f>
        <v>1250</v>
      </c>
      <c r="G22" s="1351" t="s">
        <v>365</v>
      </c>
      <c r="H22" s="1352">
        <v>4250</v>
      </c>
      <c r="I22" s="1348">
        <f t="shared" si="3"/>
        <v>1</v>
      </c>
      <c r="J22" s="1344">
        <v>0</v>
      </c>
    </row>
    <row r="23" spans="1:10" x14ac:dyDescent="0.2">
      <c r="A23" s="9"/>
      <c r="B23" s="9"/>
      <c r="C23" s="10" t="s">
        <v>351</v>
      </c>
      <c r="D23" s="11" t="s">
        <v>352</v>
      </c>
      <c r="E23" s="1345">
        <v>19000</v>
      </c>
      <c r="F23" s="1343">
        <f t="shared" si="9"/>
        <v>-1765</v>
      </c>
      <c r="G23" s="1351" t="s">
        <v>366</v>
      </c>
      <c r="H23" s="1352">
        <v>11224.22</v>
      </c>
      <c r="I23" s="1348">
        <f t="shared" si="3"/>
        <v>0.65124572091673916</v>
      </c>
      <c r="J23" s="1344">
        <v>0</v>
      </c>
    </row>
    <row r="24" spans="1:10" x14ac:dyDescent="0.2">
      <c r="A24" s="9"/>
      <c r="B24" s="9"/>
      <c r="C24" s="10" t="s">
        <v>367</v>
      </c>
      <c r="D24" s="11" t="s">
        <v>368</v>
      </c>
      <c r="E24" s="1345">
        <v>2480</v>
      </c>
      <c r="F24" s="1343">
        <f t="shared" si="9"/>
        <v>0</v>
      </c>
      <c r="G24" s="1351" t="s">
        <v>369</v>
      </c>
      <c r="H24" s="1352">
        <v>709.07</v>
      </c>
      <c r="I24" s="1348">
        <f t="shared" si="3"/>
        <v>0.28591532258064517</v>
      </c>
      <c r="J24" s="1344">
        <v>13.13</v>
      </c>
    </row>
    <row r="25" spans="1:10" x14ac:dyDescent="0.2">
      <c r="A25" s="9"/>
      <c r="B25" s="9"/>
      <c r="C25" s="10" t="s">
        <v>354</v>
      </c>
      <c r="D25" s="11" t="s">
        <v>355</v>
      </c>
      <c r="E25" s="1345">
        <v>0</v>
      </c>
      <c r="F25" s="1343">
        <f t="shared" si="9"/>
        <v>300</v>
      </c>
      <c r="G25" s="1351" t="s">
        <v>370</v>
      </c>
      <c r="H25" s="1352">
        <v>194.41</v>
      </c>
      <c r="I25" s="1348">
        <f t="shared" si="3"/>
        <v>0.64803333333333335</v>
      </c>
      <c r="J25" s="1344">
        <v>0</v>
      </c>
    </row>
    <row r="26" spans="1:10" x14ac:dyDescent="0.2">
      <c r="A26" s="1640" t="s">
        <v>27</v>
      </c>
      <c r="B26" s="1640"/>
      <c r="C26" s="1640"/>
      <c r="D26" s="1641" t="s">
        <v>28</v>
      </c>
      <c r="E26" s="1642">
        <f>E27+E30+E32</f>
        <v>4678410.13</v>
      </c>
      <c r="F26" s="1643">
        <f t="shared" ref="F26:J26" si="10">F27+F30+F32</f>
        <v>-1117039.2399999998</v>
      </c>
      <c r="G26" s="1644">
        <f t="shared" si="10"/>
        <v>3561370.8899999997</v>
      </c>
      <c r="H26" s="1644">
        <f t="shared" si="10"/>
        <v>3515162.66</v>
      </c>
      <c r="I26" s="1645">
        <f t="shared" si="3"/>
        <v>0.98702515648405287</v>
      </c>
      <c r="J26" s="1642">
        <f t="shared" si="10"/>
        <v>0</v>
      </c>
    </row>
    <row r="27" spans="1:10" ht="15" x14ac:dyDescent="0.2">
      <c r="A27" s="8"/>
      <c r="B27" s="1632" t="s">
        <v>371</v>
      </c>
      <c r="C27" s="1633"/>
      <c r="D27" s="1634" t="s">
        <v>372</v>
      </c>
      <c r="E27" s="1635">
        <f>E28+E29</f>
        <v>350000</v>
      </c>
      <c r="F27" s="1636">
        <f t="shared" ref="F27:J27" si="11">F28+F29</f>
        <v>-27900</v>
      </c>
      <c r="G27" s="1637">
        <f t="shared" si="11"/>
        <v>322100</v>
      </c>
      <c r="H27" s="1637">
        <f t="shared" si="11"/>
        <v>320161.68000000005</v>
      </c>
      <c r="I27" s="1639">
        <f t="shared" si="3"/>
        <v>0.99398224153989456</v>
      </c>
      <c r="J27" s="1635">
        <f t="shared" si="11"/>
        <v>0</v>
      </c>
    </row>
    <row r="28" spans="1:10" ht="45" x14ac:dyDescent="0.2">
      <c r="A28" s="9"/>
      <c r="B28" s="9"/>
      <c r="C28" s="10" t="s">
        <v>205</v>
      </c>
      <c r="D28" s="11" t="s">
        <v>373</v>
      </c>
      <c r="E28" s="1345">
        <v>250000</v>
      </c>
      <c r="F28" s="1343">
        <f>G28-E28</f>
        <v>14500</v>
      </c>
      <c r="G28" s="1351" t="s">
        <v>374</v>
      </c>
      <c r="H28" s="1352">
        <v>262840.84000000003</v>
      </c>
      <c r="I28" s="1348">
        <f t="shared" si="3"/>
        <v>0.99372718336483945</v>
      </c>
      <c r="J28" s="1344">
        <v>0</v>
      </c>
    </row>
    <row r="29" spans="1:10" x14ac:dyDescent="0.2">
      <c r="A29" s="9"/>
      <c r="B29" s="9"/>
      <c r="C29" s="10" t="s">
        <v>354</v>
      </c>
      <c r="D29" s="11" t="s">
        <v>355</v>
      </c>
      <c r="E29" s="1345">
        <v>100000</v>
      </c>
      <c r="F29" s="1343">
        <f>G29-E29</f>
        <v>-42400</v>
      </c>
      <c r="G29" s="1351" t="s">
        <v>375</v>
      </c>
      <c r="H29" s="1352">
        <v>57320.84</v>
      </c>
      <c r="I29" s="1348">
        <f t="shared" si="3"/>
        <v>0.99515347222222217</v>
      </c>
      <c r="J29" s="1344">
        <v>0</v>
      </c>
    </row>
    <row r="30" spans="1:10" ht="15" x14ac:dyDescent="0.2">
      <c r="A30" s="8"/>
      <c r="B30" s="1632" t="s">
        <v>376</v>
      </c>
      <c r="C30" s="1633"/>
      <c r="D30" s="1634" t="s">
        <v>377</v>
      </c>
      <c r="E30" s="1635">
        <f>E31</f>
        <v>0</v>
      </c>
      <c r="F30" s="1636">
        <f t="shared" ref="F30:J30" si="12">F31</f>
        <v>72000</v>
      </c>
      <c r="G30" s="1637" t="str">
        <f t="shared" si="12"/>
        <v>72 000,00</v>
      </c>
      <c r="H30" s="1637">
        <f t="shared" si="12"/>
        <v>45000</v>
      </c>
      <c r="I30" s="1639">
        <f t="shared" si="3"/>
        <v>0.625</v>
      </c>
      <c r="J30" s="1635">
        <f t="shared" si="12"/>
        <v>0</v>
      </c>
    </row>
    <row r="31" spans="1:10" ht="45" x14ac:dyDescent="0.2">
      <c r="A31" s="9"/>
      <c r="B31" s="9"/>
      <c r="C31" s="10" t="s">
        <v>11</v>
      </c>
      <c r="D31" s="11" t="s">
        <v>379</v>
      </c>
      <c r="E31" s="1345">
        <v>0</v>
      </c>
      <c r="F31" s="1343">
        <f>G31-E31</f>
        <v>72000</v>
      </c>
      <c r="G31" s="1351" t="s">
        <v>378</v>
      </c>
      <c r="H31" s="1352">
        <v>45000</v>
      </c>
      <c r="I31" s="1348">
        <f t="shared" si="3"/>
        <v>0.625</v>
      </c>
      <c r="J31" s="1344">
        <v>0</v>
      </c>
    </row>
    <row r="32" spans="1:10" ht="15" x14ac:dyDescent="0.2">
      <c r="A32" s="8"/>
      <c r="B32" s="1632" t="s">
        <v>30</v>
      </c>
      <c r="C32" s="1633"/>
      <c r="D32" s="1634" t="s">
        <v>31</v>
      </c>
      <c r="E32" s="1635">
        <f>E33+E34+E35+E36+E37</f>
        <v>4328410.13</v>
      </c>
      <c r="F32" s="1636">
        <f t="shared" ref="F32:J32" si="13">F33+F34+F35+F36+F37</f>
        <v>-1161139.2399999998</v>
      </c>
      <c r="G32" s="1637">
        <f t="shared" si="13"/>
        <v>3167270.8899999997</v>
      </c>
      <c r="H32" s="1637">
        <f t="shared" si="13"/>
        <v>3150000.98</v>
      </c>
      <c r="I32" s="1639">
        <f t="shared" si="3"/>
        <v>0.99454738460972003</v>
      </c>
      <c r="J32" s="1635">
        <f t="shared" si="13"/>
        <v>0</v>
      </c>
    </row>
    <row r="33" spans="1:11" x14ac:dyDescent="0.2">
      <c r="A33" s="9"/>
      <c r="B33" s="9"/>
      <c r="C33" s="10" t="s">
        <v>351</v>
      </c>
      <c r="D33" s="11" t="s">
        <v>352</v>
      </c>
      <c r="E33" s="1345">
        <v>41027.75</v>
      </c>
      <c r="F33" s="1343">
        <f>G33-E33</f>
        <v>8000</v>
      </c>
      <c r="G33" s="1351" t="s">
        <v>380</v>
      </c>
      <c r="H33" s="1352">
        <v>44955.44</v>
      </c>
      <c r="I33" s="1348">
        <f t="shared" si="3"/>
        <v>0.91693867248650007</v>
      </c>
      <c r="J33" s="1344">
        <v>0</v>
      </c>
    </row>
    <row r="34" spans="1:11" x14ac:dyDescent="0.2">
      <c r="A34" s="9"/>
      <c r="B34" s="9"/>
      <c r="C34" s="10" t="s">
        <v>381</v>
      </c>
      <c r="D34" s="11" t="s">
        <v>382</v>
      </c>
      <c r="E34" s="1345">
        <v>167000</v>
      </c>
      <c r="F34" s="1343">
        <f t="shared" ref="F34:F37" si="14">G34-E34</f>
        <v>31000</v>
      </c>
      <c r="G34" s="1351" t="s">
        <v>383</v>
      </c>
      <c r="H34" s="1352">
        <v>196985.05</v>
      </c>
      <c r="I34" s="1348">
        <f t="shared" si="3"/>
        <v>0.99487398989898979</v>
      </c>
      <c r="J34" s="1344">
        <v>0</v>
      </c>
    </row>
    <row r="35" spans="1:11" x14ac:dyDescent="0.2">
      <c r="A35" s="9"/>
      <c r="B35" s="9"/>
      <c r="C35" s="10" t="s">
        <v>354</v>
      </c>
      <c r="D35" s="11" t="s">
        <v>355</v>
      </c>
      <c r="E35" s="1345">
        <v>510000</v>
      </c>
      <c r="F35" s="1343">
        <f t="shared" si="14"/>
        <v>456390.92000000004</v>
      </c>
      <c r="G35" s="1351" t="s">
        <v>384</v>
      </c>
      <c r="H35" s="1352">
        <v>956500.41</v>
      </c>
      <c r="I35" s="1348">
        <f t="shared" si="3"/>
        <v>0.98976551849224736</v>
      </c>
      <c r="J35" s="1344">
        <v>0</v>
      </c>
    </row>
    <row r="36" spans="1:11" x14ac:dyDescent="0.2">
      <c r="A36" s="9"/>
      <c r="B36" s="9"/>
      <c r="C36" s="10" t="s">
        <v>357</v>
      </c>
      <c r="D36" s="11" t="s">
        <v>358</v>
      </c>
      <c r="E36" s="1345">
        <v>9000</v>
      </c>
      <c r="F36" s="1343">
        <f t="shared" si="14"/>
        <v>-1640</v>
      </c>
      <c r="G36" s="1351" t="s">
        <v>385</v>
      </c>
      <c r="H36" s="1352">
        <v>7351.32</v>
      </c>
      <c r="I36" s="1348">
        <f t="shared" si="3"/>
        <v>0.99882065217391303</v>
      </c>
      <c r="J36" s="1344">
        <v>0</v>
      </c>
    </row>
    <row r="37" spans="1:11" x14ac:dyDescent="0.2">
      <c r="A37" s="9"/>
      <c r="B37" s="9"/>
      <c r="C37" s="10" t="s">
        <v>360</v>
      </c>
      <c r="D37" s="11" t="s">
        <v>361</v>
      </c>
      <c r="E37" s="1345">
        <v>3601382.38</v>
      </c>
      <c r="F37" s="1343">
        <f t="shared" si="14"/>
        <v>-1654890.16</v>
      </c>
      <c r="G37" s="1351" t="s">
        <v>386</v>
      </c>
      <c r="H37" s="1352">
        <v>1944208.76</v>
      </c>
      <c r="I37" s="1348">
        <f t="shared" si="3"/>
        <v>0.99882688459962099</v>
      </c>
      <c r="J37" s="1344">
        <v>0</v>
      </c>
    </row>
    <row r="38" spans="1:11" x14ac:dyDescent="0.2">
      <c r="A38" s="1640" t="s">
        <v>387</v>
      </c>
      <c r="B38" s="1640"/>
      <c r="C38" s="1640"/>
      <c r="D38" s="1641" t="s">
        <v>388</v>
      </c>
      <c r="E38" s="1642">
        <f>E39+E42</f>
        <v>96000</v>
      </c>
      <c r="F38" s="1643">
        <f t="shared" ref="F38:J38" si="15">F39+F42</f>
        <v>205000</v>
      </c>
      <c r="G38" s="1644">
        <f t="shared" si="15"/>
        <v>301000</v>
      </c>
      <c r="H38" s="1644">
        <f t="shared" si="15"/>
        <v>287095.61</v>
      </c>
      <c r="I38" s="1645">
        <f t="shared" si="3"/>
        <v>0.95380601328903647</v>
      </c>
      <c r="J38" s="1642">
        <f t="shared" si="15"/>
        <v>0</v>
      </c>
    </row>
    <row r="39" spans="1:11" ht="15" x14ac:dyDescent="0.2">
      <c r="A39" s="8"/>
      <c r="B39" s="1632" t="s">
        <v>389</v>
      </c>
      <c r="C39" s="1633"/>
      <c r="D39" s="1634" t="s">
        <v>390</v>
      </c>
      <c r="E39" s="1635">
        <f>E40+E41</f>
        <v>0</v>
      </c>
      <c r="F39" s="1636">
        <f t="shared" ref="F39:J39" si="16">F40+F41</f>
        <v>165000</v>
      </c>
      <c r="G39" s="1637">
        <f t="shared" si="16"/>
        <v>165000</v>
      </c>
      <c r="H39" s="1637">
        <f t="shared" si="16"/>
        <v>153573</v>
      </c>
      <c r="I39" s="1639">
        <f t="shared" si="3"/>
        <v>0.93074545454545454</v>
      </c>
      <c r="J39" s="1635">
        <f t="shared" si="16"/>
        <v>0</v>
      </c>
    </row>
    <row r="40" spans="1:11" x14ac:dyDescent="0.2">
      <c r="A40" s="9"/>
      <c r="B40" s="9"/>
      <c r="C40" s="10" t="s">
        <v>354</v>
      </c>
      <c r="D40" s="11" t="s">
        <v>355</v>
      </c>
      <c r="E40" s="1345">
        <v>0</v>
      </c>
      <c r="F40" s="1343">
        <f>G40-E40</f>
        <v>30000</v>
      </c>
      <c r="G40" s="1351" t="s">
        <v>138</v>
      </c>
      <c r="H40" s="1352">
        <v>18573</v>
      </c>
      <c r="I40" s="1348">
        <f t="shared" si="3"/>
        <v>0.61909999999999998</v>
      </c>
      <c r="J40" s="1344">
        <v>0</v>
      </c>
    </row>
    <row r="41" spans="1:11" x14ac:dyDescent="0.2">
      <c r="A41" s="9"/>
      <c r="B41" s="9"/>
      <c r="C41" s="10" t="s">
        <v>360</v>
      </c>
      <c r="D41" s="11" t="s">
        <v>361</v>
      </c>
      <c r="E41" s="1345">
        <v>0</v>
      </c>
      <c r="F41" s="1343">
        <f>G41-E41</f>
        <v>135000</v>
      </c>
      <c r="G41" s="1351" t="s">
        <v>391</v>
      </c>
      <c r="H41" s="1352">
        <v>135000</v>
      </c>
      <c r="I41" s="1348">
        <f t="shared" si="3"/>
        <v>1</v>
      </c>
      <c r="J41" s="1344">
        <v>0</v>
      </c>
    </row>
    <row r="42" spans="1:11" ht="15" x14ac:dyDescent="0.2">
      <c r="A42" s="8"/>
      <c r="B42" s="1632" t="s">
        <v>392</v>
      </c>
      <c r="C42" s="1633"/>
      <c r="D42" s="1634" t="s">
        <v>14</v>
      </c>
      <c r="E42" s="1635">
        <f>E43+E44+E45+E46</f>
        <v>96000</v>
      </c>
      <c r="F42" s="1636">
        <f t="shared" ref="F42:H42" si="17">F43+F44+F45+F46</f>
        <v>40000</v>
      </c>
      <c r="G42" s="1637">
        <f t="shared" si="17"/>
        <v>136000</v>
      </c>
      <c r="H42" s="1637">
        <f t="shared" si="17"/>
        <v>133522.60999999999</v>
      </c>
      <c r="I42" s="1639">
        <f t="shared" si="3"/>
        <v>0.98178389705882341</v>
      </c>
      <c r="J42" s="1635">
        <f>J43+J44+J45+J46</f>
        <v>0</v>
      </c>
    </row>
    <row r="43" spans="1:11" x14ac:dyDescent="0.2">
      <c r="A43" s="9"/>
      <c r="B43" s="9"/>
      <c r="C43" s="10" t="s">
        <v>351</v>
      </c>
      <c r="D43" s="11" t="s">
        <v>352</v>
      </c>
      <c r="E43" s="1345">
        <v>9000</v>
      </c>
      <c r="F43" s="1343">
        <f>G43-E43</f>
        <v>0</v>
      </c>
      <c r="G43" s="1351" t="s">
        <v>393</v>
      </c>
      <c r="H43" s="1352">
        <v>6706.7</v>
      </c>
      <c r="I43" s="1348">
        <f t="shared" si="3"/>
        <v>0.7451888888888889</v>
      </c>
      <c r="J43" s="1344">
        <v>0</v>
      </c>
    </row>
    <row r="44" spans="1:11" x14ac:dyDescent="0.2">
      <c r="A44" s="9"/>
      <c r="B44" s="9"/>
      <c r="C44" s="10" t="s">
        <v>354</v>
      </c>
      <c r="D44" s="11" t="s">
        <v>355</v>
      </c>
      <c r="E44" s="1345">
        <v>37000</v>
      </c>
      <c r="F44" s="1343">
        <f t="shared" ref="F44:F46" si="18">G44-E44</f>
        <v>0</v>
      </c>
      <c r="G44" s="1351" t="s">
        <v>394</v>
      </c>
      <c r="H44" s="1352">
        <v>36847.56</v>
      </c>
      <c r="I44" s="1348">
        <f t="shared" si="3"/>
        <v>0.99587999999999999</v>
      </c>
      <c r="J44" s="1344">
        <v>0</v>
      </c>
      <c r="K44" s="1353"/>
    </row>
    <row r="45" spans="1:11" x14ac:dyDescent="0.2">
      <c r="A45" s="9"/>
      <c r="B45" s="9"/>
      <c r="C45" s="10" t="s">
        <v>360</v>
      </c>
      <c r="D45" s="11" t="s">
        <v>361</v>
      </c>
      <c r="E45" s="1345">
        <v>50000</v>
      </c>
      <c r="F45" s="1343">
        <f t="shared" si="18"/>
        <v>0</v>
      </c>
      <c r="G45" s="1351" t="s">
        <v>141</v>
      </c>
      <c r="H45" s="1352">
        <v>49968.75</v>
      </c>
      <c r="I45" s="1348">
        <f t="shared" si="3"/>
        <v>0.99937500000000001</v>
      </c>
      <c r="J45" s="1344">
        <v>0</v>
      </c>
    </row>
    <row r="46" spans="1:11" ht="22.5" x14ac:dyDescent="0.2">
      <c r="A46" s="9"/>
      <c r="B46" s="9"/>
      <c r="C46" s="10" t="s">
        <v>395</v>
      </c>
      <c r="D46" s="11" t="s">
        <v>396</v>
      </c>
      <c r="E46" s="1345">
        <v>0</v>
      </c>
      <c r="F46" s="1343">
        <f t="shared" si="18"/>
        <v>40000</v>
      </c>
      <c r="G46" s="1351" t="s">
        <v>397</v>
      </c>
      <c r="H46" s="1352">
        <v>39999.599999999999</v>
      </c>
      <c r="I46" s="1348">
        <f t="shared" si="3"/>
        <v>0.99998999999999993</v>
      </c>
      <c r="J46" s="1344">
        <v>0</v>
      </c>
    </row>
    <row r="47" spans="1:11" x14ac:dyDescent="0.2">
      <c r="A47" s="1640" t="s">
        <v>34</v>
      </c>
      <c r="B47" s="1640"/>
      <c r="C47" s="1640"/>
      <c r="D47" s="1641" t="s">
        <v>35</v>
      </c>
      <c r="E47" s="1642">
        <f>E48+E50</f>
        <v>1001851.6</v>
      </c>
      <c r="F47" s="1643">
        <f t="shared" ref="F47:J47" si="19">F48+F50</f>
        <v>183800</v>
      </c>
      <c r="G47" s="1644">
        <f t="shared" si="19"/>
        <v>1185651.6000000001</v>
      </c>
      <c r="H47" s="1644">
        <f t="shared" si="19"/>
        <v>1018739.0800000001</v>
      </c>
      <c r="I47" s="1645">
        <f t="shared" si="3"/>
        <v>0.85922296229347639</v>
      </c>
      <c r="J47" s="1642">
        <f t="shared" si="19"/>
        <v>14012.23</v>
      </c>
    </row>
    <row r="48" spans="1:11" ht="15" x14ac:dyDescent="0.2">
      <c r="A48" s="8"/>
      <c r="B48" s="1632" t="s">
        <v>398</v>
      </c>
      <c r="C48" s="1633"/>
      <c r="D48" s="1634" t="s">
        <v>399</v>
      </c>
      <c r="E48" s="1635">
        <f>E49</f>
        <v>407851.6</v>
      </c>
      <c r="F48" s="1636">
        <f t="shared" ref="F48:J48" si="20">F49</f>
        <v>0</v>
      </c>
      <c r="G48" s="1637" t="str">
        <f t="shared" si="20"/>
        <v>407 851,60</v>
      </c>
      <c r="H48" s="1637">
        <f t="shared" si="20"/>
        <v>403636.8</v>
      </c>
      <c r="I48" s="1639">
        <f t="shared" si="3"/>
        <v>0.98966584904901689</v>
      </c>
      <c r="J48" s="1635">
        <f t="shared" si="20"/>
        <v>0</v>
      </c>
    </row>
    <row r="49" spans="1:10" ht="22.5" x14ac:dyDescent="0.2">
      <c r="A49" s="9"/>
      <c r="B49" s="9"/>
      <c r="C49" s="10" t="s">
        <v>401</v>
      </c>
      <c r="D49" s="11" t="s">
        <v>402</v>
      </c>
      <c r="E49" s="1345">
        <v>407851.6</v>
      </c>
      <c r="F49" s="1343">
        <f>G49-E49</f>
        <v>0</v>
      </c>
      <c r="G49" s="1351" t="s">
        <v>400</v>
      </c>
      <c r="H49" s="1352">
        <v>403636.8</v>
      </c>
      <c r="I49" s="1348">
        <f t="shared" si="3"/>
        <v>0.98966584904901689</v>
      </c>
      <c r="J49" s="1344">
        <v>0</v>
      </c>
    </row>
    <row r="50" spans="1:10" ht="15" x14ac:dyDescent="0.2">
      <c r="A50" s="8"/>
      <c r="B50" s="1632" t="s">
        <v>36</v>
      </c>
      <c r="C50" s="1633"/>
      <c r="D50" s="1634" t="s">
        <v>37</v>
      </c>
      <c r="E50" s="1635">
        <f>E51+E52+E53+E54+E55+E56+E57+E58+E59+E60+E61+E62+E63</f>
        <v>594000</v>
      </c>
      <c r="F50" s="1636">
        <f t="shared" ref="F50:J50" si="21">F51+F52+F53+F54+F55+F56+F57+F58+F59+F60+F61+F62+F63</f>
        <v>183800</v>
      </c>
      <c r="G50" s="1637">
        <f t="shared" si="21"/>
        <v>777800</v>
      </c>
      <c r="H50" s="1637">
        <f t="shared" si="21"/>
        <v>615102.28</v>
      </c>
      <c r="I50" s="1639">
        <f t="shared" si="3"/>
        <v>0.79082319362303932</v>
      </c>
      <c r="J50" s="1635">
        <f t="shared" si="21"/>
        <v>14012.23</v>
      </c>
    </row>
    <row r="51" spans="1:10" x14ac:dyDescent="0.2">
      <c r="A51" s="9"/>
      <c r="B51" s="9"/>
      <c r="C51" s="10" t="s">
        <v>351</v>
      </c>
      <c r="D51" s="11" t="s">
        <v>352</v>
      </c>
      <c r="E51" s="1345">
        <v>8000</v>
      </c>
      <c r="F51" s="1343">
        <f>G51-E51</f>
        <v>-4000</v>
      </c>
      <c r="G51" s="1351" t="s">
        <v>210</v>
      </c>
      <c r="H51" s="1352">
        <v>3489.58</v>
      </c>
      <c r="I51" s="1348">
        <f t="shared" si="3"/>
        <v>0.87239500000000003</v>
      </c>
      <c r="J51" s="1344">
        <v>0</v>
      </c>
    </row>
    <row r="52" spans="1:10" x14ac:dyDescent="0.2">
      <c r="A52" s="9"/>
      <c r="B52" s="9"/>
      <c r="C52" s="10" t="s">
        <v>367</v>
      </c>
      <c r="D52" s="11" t="s">
        <v>368</v>
      </c>
      <c r="E52" s="1345">
        <v>85000</v>
      </c>
      <c r="F52" s="1343">
        <f t="shared" ref="F52:F63" si="22">G52-E52</f>
        <v>0</v>
      </c>
      <c r="G52" s="1351" t="s">
        <v>403</v>
      </c>
      <c r="H52" s="1352">
        <v>77615.570000000007</v>
      </c>
      <c r="I52" s="1348">
        <f t="shared" si="3"/>
        <v>0.91312435294117655</v>
      </c>
      <c r="J52" s="1344">
        <v>13494.32</v>
      </c>
    </row>
    <row r="53" spans="1:10" x14ac:dyDescent="0.2">
      <c r="A53" s="9"/>
      <c r="B53" s="9"/>
      <c r="C53" s="10" t="s">
        <v>381</v>
      </c>
      <c r="D53" s="11" t="s">
        <v>382</v>
      </c>
      <c r="E53" s="1345">
        <v>16000</v>
      </c>
      <c r="F53" s="1343">
        <f t="shared" si="22"/>
        <v>0</v>
      </c>
      <c r="G53" s="1351" t="s">
        <v>404</v>
      </c>
      <c r="H53" s="1352">
        <v>9500</v>
      </c>
      <c r="I53" s="1348">
        <f t="shared" si="3"/>
        <v>0.59375</v>
      </c>
      <c r="J53" s="1344">
        <v>0</v>
      </c>
    </row>
    <row r="54" spans="1:10" x14ac:dyDescent="0.2">
      <c r="A54" s="9"/>
      <c r="B54" s="9"/>
      <c r="C54" s="10" t="s">
        <v>354</v>
      </c>
      <c r="D54" s="11" t="s">
        <v>355</v>
      </c>
      <c r="E54" s="1345">
        <v>93889.43</v>
      </c>
      <c r="F54" s="1343">
        <f t="shared" si="22"/>
        <v>93934</v>
      </c>
      <c r="G54" s="1351" t="s">
        <v>405</v>
      </c>
      <c r="H54" s="1352">
        <v>151981.07999999999</v>
      </c>
      <c r="I54" s="1348">
        <f t="shared" si="3"/>
        <v>0.8091699741613706</v>
      </c>
      <c r="J54" s="1344">
        <v>389.84</v>
      </c>
    </row>
    <row r="55" spans="1:10" x14ac:dyDescent="0.2">
      <c r="A55" s="9"/>
      <c r="B55" s="9"/>
      <c r="C55" s="10" t="s">
        <v>406</v>
      </c>
      <c r="D55" s="11" t="s">
        <v>355</v>
      </c>
      <c r="E55" s="1345">
        <v>22269.58</v>
      </c>
      <c r="F55" s="1343">
        <f t="shared" si="22"/>
        <v>0</v>
      </c>
      <c r="G55" s="1351" t="s">
        <v>407</v>
      </c>
      <c r="H55" s="1352">
        <v>21190.65</v>
      </c>
      <c r="I55" s="1348">
        <f t="shared" si="3"/>
        <v>0.95155139881398754</v>
      </c>
      <c r="J55" s="1344">
        <v>0</v>
      </c>
    </row>
    <row r="56" spans="1:10" x14ac:dyDescent="0.2">
      <c r="A56" s="9"/>
      <c r="B56" s="9"/>
      <c r="C56" s="10" t="s">
        <v>408</v>
      </c>
      <c r="D56" s="11" t="s">
        <v>355</v>
      </c>
      <c r="E56" s="1345">
        <v>6840.99</v>
      </c>
      <c r="F56" s="1343">
        <f t="shared" si="22"/>
        <v>13066.000000000002</v>
      </c>
      <c r="G56" s="1351" t="s">
        <v>409</v>
      </c>
      <c r="H56" s="1352">
        <v>19005.14</v>
      </c>
      <c r="I56" s="1348">
        <f t="shared" si="3"/>
        <v>0.95469681755001623</v>
      </c>
      <c r="J56" s="1344">
        <v>0</v>
      </c>
    </row>
    <row r="57" spans="1:10" x14ac:dyDescent="0.2">
      <c r="A57" s="9"/>
      <c r="B57" s="9"/>
      <c r="C57" s="10" t="s">
        <v>357</v>
      </c>
      <c r="D57" s="11" t="s">
        <v>358</v>
      </c>
      <c r="E57" s="1345">
        <v>1500</v>
      </c>
      <c r="F57" s="1343">
        <f t="shared" si="22"/>
        <v>0</v>
      </c>
      <c r="G57" s="1351" t="s">
        <v>79</v>
      </c>
      <c r="H57" s="1352">
        <v>236</v>
      </c>
      <c r="I57" s="1348">
        <f t="shared" si="3"/>
        <v>0.15733333333333333</v>
      </c>
      <c r="J57" s="1344">
        <v>0</v>
      </c>
    </row>
    <row r="58" spans="1:10" ht="22.5" x14ac:dyDescent="0.2">
      <c r="A58" s="9"/>
      <c r="B58" s="9"/>
      <c r="C58" s="10" t="s">
        <v>410</v>
      </c>
      <c r="D58" s="11" t="s">
        <v>411</v>
      </c>
      <c r="E58" s="1345">
        <v>700</v>
      </c>
      <c r="F58" s="1343">
        <f t="shared" si="22"/>
        <v>0</v>
      </c>
      <c r="G58" s="1351" t="s">
        <v>53</v>
      </c>
      <c r="H58" s="1352">
        <v>667</v>
      </c>
      <c r="I58" s="1348">
        <f t="shared" si="3"/>
        <v>0.95285714285714285</v>
      </c>
      <c r="J58" s="1344">
        <v>0</v>
      </c>
    </row>
    <row r="59" spans="1:10" ht="22.5" x14ac:dyDescent="0.2">
      <c r="A59" s="9"/>
      <c r="B59" s="9"/>
      <c r="C59" s="10" t="s">
        <v>412</v>
      </c>
      <c r="D59" s="11" t="s">
        <v>413</v>
      </c>
      <c r="E59" s="1345">
        <v>4800</v>
      </c>
      <c r="F59" s="1343">
        <f t="shared" si="22"/>
        <v>300</v>
      </c>
      <c r="G59" s="1351" t="s">
        <v>414</v>
      </c>
      <c r="H59" s="1352">
        <v>5063.0600000000004</v>
      </c>
      <c r="I59" s="1348">
        <f t="shared" si="3"/>
        <v>0.99275686274509811</v>
      </c>
      <c r="J59" s="1344">
        <v>0</v>
      </c>
    </row>
    <row r="60" spans="1:10" ht="22.5" x14ac:dyDescent="0.2">
      <c r="A60" s="9"/>
      <c r="B60" s="9"/>
      <c r="C60" s="10" t="s">
        <v>415</v>
      </c>
      <c r="D60" s="11" t="s">
        <v>416</v>
      </c>
      <c r="E60" s="1345">
        <v>80000</v>
      </c>
      <c r="F60" s="1343">
        <f t="shared" si="22"/>
        <v>-50000</v>
      </c>
      <c r="G60" s="1351" t="s">
        <v>138</v>
      </c>
      <c r="H60" s="1352">
        <v>19872.53</v>
      </c>
      <c r="I60" s="1348">
        <f t="shared" si="3"/>
        <v>0.66241766666666668</v>
      </c>
      <c r="J60" s="1344">
        <v>0</v>
      </c>
    </row>
    <row r="61" spans="1:10" ht="33.75" x14ac:dyDescent="0.2">
      <c r="A61" s="9"/>
      <c r="B61" s="9"/>
      <c r="C61" s="10" t="s">
        <v>417</v>
      </c>
      <c r="D61" s="11" t="s">
        <v>418</v>
      </c>
      <c r="E61" s="1345">
        <v>110000</v>
      </c>
      <c r="F61" s="1343">
        <f t="shared" si="22"/>
        <v>-20000</v>
      </c>
      <c r="G61" s="1351" t="s">
        <v>419</v>
      </c>
      <c r="H61" s="1352">
        <v>87444.67</v>
      </c>
      <c r="I61" s="1348">
        <f t="shared" si="3"/>
        <v>0.97160744444444447</v>
      </c>
      <c r="J61" s="1344">
        <v>128.07</v>
      </c>
    </row>
    <row r="62" spans="1:10" ht="22.5" x14ac:dyDescent="0.2">
      <c r="A62" s="9"/>
      <c r="B62" s="9"/>
      <c r="C62" s="10" t="s">
        <v>420</v>
      </c>
      <c r="D62" s="11" t="s">
        <v>421</v>
      </c>
      <c r="E62" s="1345">
        <v>5000</v>
      </c>
      <c r="F62" s="1343">
        <f t="shared" si="22"/>
        <v>-300</v>
      </c>
      <c r="G62" s="1351" t="s">
        <v>422</v>
      </c>
      <c r="H62" s="1352">
        <v>0</v>
      </c>
      <c r="I62" s="1348">
        <f t="shared" si="3"/>
        <v>0</v>
      </c>
      <c r="J62" s="1344">
        <v>0</v>
      </c>
    </row>
    <row r="63" spans="1:10" ht="22.5" x14ac:dyDescent="0.2">
      <c r="A63" s="9"/>
      <c r="B63" s="9"/>
      <c r="C63" s="10" t="s">
        <v>395</v>
      </c>
      <c r="D63" s="11" t="s">
        <v>396</v>
      </c>
      <c r="E63" s="1345">
        <v>160000</v>
      </c>
      <c r="F63" s="1343">
        <f t="shared" si="22"/>
        <v>150800</v>
      </c>
      <c r="G63" s="1351" t="s">
        <v>423</v>
      </c>
      <c r="H63" s="1352">
        <v>219037</v>
      </c>
      <c r="I63" s="1348">
        <f t="shared" si="3"/>
        <v>0.70475225225225224</v>
      </c>
      <c r="J63" s="1344">
        <v>0</v>
      </c>
    </row>
    <row r="64" spans="1:10" x14ac:dyDescent="0.2">
      <c r="A64" s="1640" t="s">
        <v>62</v>
      </c>
      <c r="B64" s="1640"/>
      <c r="C64" s="1640"/>
      <c r="D64" s="1641" t="s">
        <v>63</v>
      </c>
      <c r="E64" s="1642">
        <f>E65+E68</f>
        <v>104000</v>
      </c>
      <c r="F64" s="1643">
        <f t="shared" ref="F64:J64" si="23">F65+F68</f>
        <v>28000</v>
      </c>
      <c r="G64" s="1644">
        <f t="shared" si="23"/>
        <v>132000</v>
      </c>
      <c r="H64" s="1644">
        <f t="shared" si="23"/>
        <v>67317.040000000008</v>
      </c>
      <c r="I64" s="1645">
        <f t="shared" si="3"/>
        <v>0.50997757575757585</v>
      </c>
      <c r="J64" s="1642">
        <f t="shared" si="23"/>
        <v>149.44999999999999</v>
      </c>
    </row>
    <row r="65" spans="1:10" ht="15" x14ac:dyDescent="0.2">
      <c r="A65" s="8"/>
      <c r="B65" s="1632" t="s">
        <v>424</v>
      </c>
      <c r="C65" s="1633"/>
      <c r="D65" s="1634" t="s">
        <v>425</v>
      </c>
      <c r="E65" s="1635">
        <f>E66+E67</f>
        <v>100000</v>
      </c>
      <c r="F65" s="1636">
        <f t="shared" ref="F65:J65" si="24">F66+F67</f>
        <v>0</v>
      </c>
      <c r="G65" s="1637">
        <f t="shared" si="24"/>
        <v>100000</v>
      </c>
      <c r="H65" s="1637">
        <f t="shared" si="24"/>
        <v>37290.76</v>
      </c>
      <c r="I65" s="1639">
        <f t="shared" si="3"/>
        <v>0.37290760000000001</v>
      </c>
      <c r="J65" s="1635">
        <f t="shared" si="24"/>
        <v>0</v>
      </c>
    </row>
    <row r="66" spans="1:10" x14ac:dyDescent="0.2">
      <c r="A66" s="9"/>
      <c r="B66" s="9"/>
      <c r="C66" s="10" t="s">
        <v>363</v>
      </c>
      <c r="D66" s="11" t="s">
        <v>364</v>
      </c>
      <c r="E66" s="1345">
        <v>25000</v>
      </c>
      <c r="F66" s="1343">
        <f>G66-E66</f>
        <v>0</v>
      </c>
      <c r="G66" s="1351" t="s">
        <v>23</v>
      </c>
      <c r="H66" s="1352">
        <v>3826</v>
      </c>
      <c r="I66" s="1348">
        <f t="shared" si="3"/>
        <v>0.15304000000000001</v>
      </c>
      <c r="J66" s="1344">
        <v>0</v>
      </c>
    </row>
    <row r="67" spans="1:10" x14ac:dyDescent="0.2">
      <c r="A67" s="9"/>
      <c r="B67" s="9"/>
      <c r="C67" s="10" t="s">
        <v>354</v>
      </c>
      <c r="D67" s="11" t="s">
        <v>355</v>
      </c>
      <c r="E67" s="1345">
        <v>75000</v>
      </c>
      <c r="F67" s="1343">
        <f>G67-E67</f>
        <v>0</v>
      </c>
      <c r="G67" s="1351" t="s">
        <v>427</v>
      </c>
      <c r="H67" s="1352">
        <v>33464.76</v>
      </c>
      <c r="I67" s="1348">
        <f t="shared" si="3"/>
        <v>0.4461968</v>
      </c>
      <c r="J67" s="1344">
        <v>0</v>
      </c>
    </row>
    <row r="68" spans="1:10" ht="15" x14ac:dyDescent="0.2">
      <c r="A68" s="8"/>
      <c r="B68" s="1632" t="s">
        <v>65</v>
      </c>
      <c r="C68" s="1633"/>
      <c r="D68" s="1634" t="s">
        <v>66</v>
      </c>
      <c r="E68" s="1635">
        <f>E69+E70</f>
        <v>4000</v>
      </c>
      <c r="F68" s="1636">
        <f t="shared" ref="F68:J68" si="25">F69+F70</f>
        <v>28000</v>
      </c>
      <c r="G68" s="1637">
        <f t="shared" si="25"/>
        <v>32000</v>
      </c>
      <c r="H68" s="1637">
        <f t="shared" si="25"/>
        <v>30026.28</v>
      </c>
      <c r="I68" s="1639">
        <f t="shared" si="3"/>
        <v>0.93832125</v>
      </c>
      <c r="J68" s="1635">
        <f t="shared" si="25"/>
        <v>149.44999999999999</v>
      </c>
    </row>
    <row r="69" spans="1:10" x14ac:dyDescent="0.2">
      <c r="A69" s="9"/>
      <c r="B69" s="9"/>
      <c r="C69" s="10" t="s">
        <v>381</v>
      </c>
      <c r="D69" s="11" t="s">
        <v>382</v>
      </c>
      <c r="E69" s="1345">
        <v>0</v>
      </c>
      <c r="F69" s="1343">
        <f>G69-E69</f>
        <v>20000</v>
      </c>
      <c r="G69" s="1351" t="s">
        <v>102</v>
      </c>
      <c r="H69" s="1352">
        <v>19370.04</v>
      </c>
      <c r="I69" s="1348">
        <f t="shared" si="3"/>
        <v>0.96850200000000009</v>
      </c>
      <c r="J69" s="1344">
        <v>0</v>
      </c>
    </row>
    <row r="70" spans="1:10" x14ac:dyDescent="0.2">
      <c r="A70" s="9"/>
      <c r="B70" s="9"/>
      <c r="C70" s="10" t="s">
        <v>354</v>
      </c>
      <c r="D70" s="11" t="s">
        <v>355</v>
      </c>
      <c r="E70" s="1345">
        <v>4000</v>
      </c>
      <c r="F70" s="1343">
        <f>G70-E70</f>
        <v>8000</v>
      </c>
      <c r="G70" s="1351" t="s">
        <v>428</v>
      </c>
      <c r="H70" s="1352">
        <v>10656.24</v>
      </c>
      <c r="I70" s="1348">
        <f t="shared" si="3"/>
        <v>0.88802000000000003</v>
      </c>
      <c r="J70" s="1344">
        <v>149.44999999999999</v>
      </c>
    </row>
    <row r="71" spans="1:10" x14ac:dyDescent="0.2">
      <c r="A71" s="1640" t="s">
        <v>69</v>
      </c>
      <c r="B71" s="1640"/>
      <c r="C71" s="1640"/>
      <c r="D71" s="1641" t="s">
        <v>70</v>
      </c>
      <c r="E71" s="1642">
        <f>E72+E79+E85+E115+E119+E137</f>
        <v>5576769.1000000006</v>
      </c>
      <c r="F71" s="1643">
        <f t="shared" ref="F71:J71" si="26">F72+F79+F85+F115+F119+F137</f>
        <v>155781.82000000004</v>
      </c>
      <c r="G71" s="1644">
        <f t="shared" si="26"/>
        <v>5732550.9200000009</v>
      </c>
      <c r="H71" s="1644">
        <f t="shared" si="26"/>
        <v>5470101.0499999998</v>
      </c>
      <c r="I71" s="1645">
        <f t="shared" ref="I71:I134" si="27">H71/G71</f>
        <v>0.95421761207835887</v>
      </c>
      <c r="J71" s="1642">
        <f t="shared" si="26"/>
        <v>336939.51</v>
      </c>
    </row>
    <row r="72" spans="1:10" ht="15" x14ac:dyDescent="0.2">
      <c r="A72" s="8"/>
      <c r="B72" s="1632" t="s">
        <v>71</v>
      </c>
      <c r="C72" s="1633"/>
      <c r="D72" s="1634" t="s">
        <v>72</v>
      </c>
      <c r="E72" s="1635">
        <f>E73+E74+E75+E76+E77+E78</f>
        <v>142825</v>
      </c>
      <c r="F72" s="1636">
        <f t="shared" ref="F72:J72" si="28">F73+F74+F75+F76+F77+F78</f>
        <v>55748.999999999993</v>
      </c>
      <c r="G72" s="1637">
        <f t="shared" si="28"/>
        <v>198574</v>
      </c>
      <c r="H72" s="1637">
        <f t="shared" si="28"/>
        <v>198574</v>
      </c>
      <c r="I72" s="1639">
        <f t="shared" si="27"/>
        <v>1</v>
      </c>
      <c r="J72" s="1635">
        <f t="shared" si="28"/>
        <v>0</v>
      </c>
    </row>
    <row r="73" spans="1:10" x14ac:dyDescent="0.2">
      <c r="A73" s="9"/>
      <c r="B73" s="9"/>
      <c r="C73" s="10" t="s">
        <v>342</v>
      </c>
      <c r="D73" s="11" t="s">
        <v>343</v>
      </c>
      <c r="E73" s="1345">
        <v>115368.6</v>
      </c>
      <c r="F73" s="1343">
        <f>G73-E73</f>
        <v>45610.149999999994</v>
      </c>
      <c r="G73" s="1351" t="s">
        <v>429</v>
      </c>
      <c r="H73" s="1352">
        <v>160978.75</v>
      </c>
      <c r="I73" s="1348">
        <f t="shared" si="27"/>
        <v>1</v>
      </c>
      <c r="J73" s="1344">
        <v>0</v>
      </c>
    </row>
    <row r="74" spans="1:10" x14ac:dyDescent="0.2">
      <c r="A74" s="9"/>
      <c r="B74" s="9"/>
      <c r="C74" s="10" t="s">
        <v>345</v>
      </c>
      <c r="D74" s="11" t="s">
        <v>346</v>
      </c>
      <c r="E74" s="1345">
        <v>19831.87</v>
      </c>
      <c r="F74" s="1343">
        <f t="shared" ref="F74:F78" si="29">G74-E74</f>
        <v>7840.3899999999994</v>
      </c>
      <c r="G74" s="1351" t="s">
        <v>430</v>
      </c>
      <c r="H74" s="1352">
        <v>27672.26</v>
      </c>
      <c r="I74" s="1348">
        <f t="shared" si="27"/>
        <v>1</v>
      </c>
      <c r="J74" s="1344">
        <v>0</v>
      </c>
    </row>
    <row r="75" spans="1:10" x14ac:dyDescent="0.2">
      <c r="A75" s="9"/>
      <c r="B75" s="9"/>
      <c r="C75" s="10" t="s">
        <v>348</v>
      </c>
      <c r="D75" s="11" t="s">
        <v>349</v>
      </c>
      <c r="E75" s="1345">
        <v>2826.53</v>
      </c>
      <c r="F75" s="1343">
        <f t="shared" si="29"/>
        <v>431.45999999999958</v>
      </c>
      <c r="G75" s="1351" t="s">
        <v>431</v>
      </c>
      <c r="H75" s="1352">
        <v>3257.99</v>
      </c>
      <c r="I75" s="1348">
        <f t="shared" si="27"/>
        <v>1</v>
      </c>
      <c r="J75" s="1344">
        <v>0</v>
      </c>
    </row>
    <row r="76" spans="1:10" x14ac:dyDescent="0.2">
      <c r="A76" s="9"/>
      <c r="B76" s="9"/>
      <c r="C76" s="10" t="s">
        <v>351</v>
      </c>
      <c r="D76" s="11" t="s">
        <v>352</v>
      </c>
      <c r="E76" s="1345">
        <v>1798</v>
      </c>
      <c r="F76" s="1343">
        <f t="shared" si="29"/>
        <v>3000</v>
      </c>
      <c r="G76" s="1351" t="s">
        <v>432</v>
      </c>
      <c r="H76" s="1352">
        <v>4798</v>
      </c>
      <c r="I76" s="1348">
        <f t="shared" si="27"/>
        <v>1</v>
      </c>
      <c r="J76" s="1344">
        <v>0</v>
      </c>
    </row>
    <row r="77" spans="1:10" x14ac:dyDescent="0.2">
      <c r="A77" s="9"/>
      <c r="B77" s="9"/>
      <c r="C77" s="10" t="s">
        <v>354</v>
      </c>
      <c r="D77" s="11" t="s">
        <v>355</v>
      </c>
      <c r="E77" s="1345">
        <v>3000</v>
      </c>
      <c r="F77" s="1343">
        <f t="shared" si="29"/>
        <v>-3000</v>
      </c>
      <c r="G77" s="1351" t="s">
        <v>7</v>
      </c>
      <c r="H77" s="1352">
        <v>0</v>
      </c>
      <c r="I77" s="1348">
        <v>0</v>
      </c>
      <c r="J77" s="1344">
        <v>0</v>
      </c>
    </row>
    <row r="78" spans="1:10" ht="22.5" x14ac:dyDescent="0.2">
      <c r="A78" s="9"/>
      <c r="B78" s="9"/>
      <c r="C78" s="10" t="s">
        <v>433</v>
      </c>
      <c r="D78" s="11" t="s">
        <v>434</v>
      </c>
      <c r="E78" s="1345">
        <v>0</v>
      </c>
      <c r="F78" s="1343">
        <f t="shared" si="29"/>
        <v>1867</v>
      </c>
      <c r="G78" s="1351" t="s">
        <v>435</v>
      </c>
      <c r="H78" s="1352">
        <v>1867</v>
      </c>
      <c r="I78" s="1348">
        <f t="shared" si="27"/>
        <v>1</v>
      </c>
      <c r="J78" s="1344">
        <v>0</v>
      </c>
    </row>
    <row r="79" spans="1:10" ht="15" x14ac:dyDescent="0.2">
      <c r="A79" s="8"/>
      <c r="B79" s="1632" t="s">
        <v>436</v>
      </c>
      <c r="C79" s="1633"/>
      <c r="D79" s="1634" t="s">
        <v>437</v>
      </c>
      <c r="E79" s="1635">
        <f>E80+E81+E82+E83+E84</f>
        <v>340547.24</v>
      </c>
      <c r="F79" s="1636">
        <f t="shared" ref="F79:J79" si="30">F80+F81+F82+F83+F84</f>
        <v>-1000</v>
      </c>
      <c r="G79" s="1637">
        <f t="shared" si="30"/>
        <v>339547.24</v>
      </c>
      <c r="H79" s="1637">
        <f t="shared" si="30"/>
        <v>322324.06</v>
      </c>
      <c r="I79" s="1639">
        <f t="shared" si="27"/>
        <v>0.94927604182557923</v>
      </c>
      <c r="J79" s="1635">
        <f t="shared" si="30"/>
        <v>284.10000000000002</v>
      </c>
    </row>
    <row r="80" spans="1:10" x14ac:dyDescent="0.2">
      <c r="A80" s="9"/>
      <c r="B80" s="9"/>
      <c r="C80" s="10" t="s">
        <v>438</v>
      </c>
      <c r="D80" s="11" t="s">
        <v>439</v>
      </c>
      <c r="E80" s="1345">
        <v>300547.24</v>
      </c>
      <c r="F80" s="1343">
        <f>G80-E80</f>
        <v>0</v>
      </c>
      <c r="G80" s="1351" t="s">
        <v>440</v>
      </c>
      <c r="H80" s="1352">
        <v>294985.40000000002</v>
      </c>
      <c r="I80" s="1348">
        <f t="shared" si="27"/>
        <v>0.98149429021540846</v>
      </c>
      <c r="J80" s="1344">
        <v>0</v>
      </c>
    </row>
    <row r="81" spans="1:10" x14ac:dyDescent="0.2">
      <c r="A81" s="9"/>
      <c r="B81" s="9"/>
      <c r="C81" s="10" t="s">
        <v>441</v>
      </c>
      <c r="D81" s="11" t="s">
        <v>442</v>
      </c>
      <c r="E81" s="1345">
        <v>4000</v>
      </c>
      <c r="F81" s="1343">
        <f t="shared" ref="F81:F84" si="31">G81-E81</f>
        <v>0</v>
      </c>
      <c r="G81" s="1351" t="s">
        <v>210</v>
      </c>
      <c r="H81" s="1352">
        <v>3800</v>
      </c>
      <c r="I81" s="1348">
        <f t="shared" si="27"/>
        <v>0.95</v>
      </c>
      <c r="J81" s="1344">
        <v>0</v>
      </c>
    </row>
    <row r="82" spans="1:10" x14ac:dyDescent="0.2">
      <c r="A82" s="9"/>
      <c r="B82" s="9"/>
      <c r="C82" s="10" t="s">
        <v>351</v>
      </c>
      <c r="D82" s="11" t="s">
        <v>352</v>
      </c>
      <c r="E82" s="1345">
        <v>22000</v>
      </c>
      <c r="F82" s="1343">
        <f t="shared" si="31"/>
        <v>3000</v>
      </c>
      <c r="G82" s="1351" t="s">
        <v>23</v>
      </c>
      <c r="H82" s="1352">
        <v>16402.29</v>
      </c>
      <c r="I82" s="1348">
        <f t="shared" si="27"/>
        <v>0.6560916</v>
      </c>
      <c r="J82" s="1344">
        <v>0</v>
      </c>
    </row>
    <row r="83" spans="1:10" x14ac:dyDescent="0.2">
      <c r="A83" s="9"/>
      <c r="B83" s="9"/>
      <c r="C83" s="10" t="s">
        <v>354</v>
      </c>
      <c r="D83" s="11" t="s">
        <v>355</v>
      </c>
      <c r="E83" s="1345">
        <v>10000</v>
      </c>
      <c r="F83" s="1343">
        <f t="shared" si="31"/>
        <v>0</v>
      </c>
      <c r="G83" s="1351" t="s">
        <v>142</v>
      </c>
      <c r="H83" s="1352">
        <v>7136.37</v>
      </c>
      <c r="I83" s="1348">
        <f t="shared" si="27"/>
        <v>0.71363699999999997</v>
      </c>
      <c r="J83" s="1344">
        <v>284.10000000000002</v>
      </c>
    </row>
    <row r="84" spans="1:10" x14ac:dyDescent="0.2">
      <c r="A84" s="9"/>
      <c r="B84" s="9"/>
      <c r="C84" s="10" t="s">
        <v>443</v>
      </c>
      <c r="D84" s="11" t="s">
        <v>444</v>
      </c>
      <c r="E84" s="1345">
        <v>4000</v>
      </c>
      <c r="F84" s="1343">
        <f t="shared" si="31"/>
        <v>-4000</v>
      </c>
      <c r="G84" s="1351" t="s">
        <v>7</v>
      </c>
      <c r="H84" s="1352">
        <v>0</v>
      </c>
      <c r="I84" s="1348">
        <v>0</v>
      </c>
      <c r="J84" s="1344">
        <v>0</v>
      </c>
    </row>
    <row r="85" spans="1:10" ht="15" x14ac:dyDescent="0.2">
      <c r="A85" s="8"/>
      <c r="B85" s="1632" t="s">
        <v>74</v>
      </c>
      <c r="C85" s="1633"/>
      <c r="D85" s="1634" t="s">
        <v>75</v>
      </c>
      <c r="E85" s="1635">
        <f>E86+E87+E88+E89+E90+E91+E92+E93+E94+E95+E96+E97+E98+E99+E100+E101+E102+E103+E104+E105+E106+E107+E108+E109+E110+E111+E112+E113+E114</f>
        <v>3981369.8600000003</v>
      </c>
      <c r="F85" s="1636">
        <f t="shared" ref="F85:J85" si="32">F86+F87+F88+F89+F90+F91+F92+F93+F94+F95+F96+F97+F98+F99+F100+F101+F102+F103+F104+F105+F106+F107+F108+F109+F110+F111+F112+F113+F114</f>
        <v>53929.820000000036</v>
      </c>
      <c r="G85" s="1637">
        <f t="shared" si="32"/>
        <v>4035299.6800000006</v>
      </c>
      <c r="H85" s="1637">
        <f t="shared" si="32"/>
        <v>3818128.2100000009</v>
      </c>
      <c r="I85" s="1639">
        <f t="shared" si="27"/>
        <v>0.9461820714143343</v>
      </c>
      <c r="J85" s="1635">
        <f t="shared" si="32"/>
        <v>260068.43999999997</v>
      </c>
    </row>
    <row r="86" spans="1:10" x14ac:dyDescent="0.2">
      <c r="A86" s="9"/>
      <c r="B86" s="9"/>
      <c r="C86" s="10" t="s">
        <v>445</v>
      </c>
      <c r="D86" s="11" t="s">
        <v>446</v>
      </c>
      <c r="E86" s="1345">
        <v>6500</v>
      </c>
      <c r="F86" s="1343">
        <f>G86-E86</f>
        <v>0</v>
      </c>
      <c r="G86" s="1351" t="s">
        <v>447</v>
      </c>
      <c r="H86" s="1352">
        <v>5292.33</v>
      </c>
      <c r="I86" s="1348">
        <f t="shared" si="27"/>
        <v>0.81420461538461542</v>
      </c>
      <c r="J86" s="1344">
        <v>0</v>
      </c>
    </row>
    <row r="87" spans="1:10" x14ac:dyDescent="0.2">
      <c r="A87" s="9"/>
      <c r="B87" s="9"/>
      <c r="C87" s="10" t="s">
        <v>342</v>
      </c>
      <c r="D87" s="11" t="s">
        <v>343</v>
      </c>
      <c r="E87" s="1345">
        <v>2431927.69</v>
      </c>
      <c r="F87" s="1343">
        <f t="shared" ref="F87:F114" si="33">G87-E87</f>
        <v>-52004</v>
      </c>
      <c r="G87" s="1351" t="s">
        <v>448</v>
      </c>
      <c r="H87" s="1352">
        <v>2256337.94</v>
      </c>
      <c r="I87" s="1348">
        <f t="shared" si="27"/>
        <v>0.94807154930249049</v>
      </c>
      <c r="J87" s="1344">
        <v>0</v>
      </c>
    </row>
    <row r="88" spans="1:10" x14ac:dyDescent="0.2">
      <c r="A88" s="9"/>
      <c r="B88" s="9"/>
      <c r="C88" s="10" t="s">
        <v>449</v>
      </c>
      <c r="D88" s="11" t="s">
        <v>343</v>
      </c>
      <c r="E88" s="1345">
        <v>6666.07</v>
      </c>
      <c r="F88" s="1343">
        <f t="shared" si="33"/>
        <v>0</v>
      </c>
      <c r="G88" s="1351" t="s">
        <v>450</v>
      </c>
      <c r="H88" s="1352">
        <v>6666.07</v>
      </c>
      <c r="I88" s="1348">
        <f t="shared" si="27"/>
        <v>1</v>
      </c>
      <c r="J88" s="1344">
        <v>0</v>
      </c>
    </row>
    <row r="89" spans="1:10" x14ac:dyDescent="0.2">
      <c r="A89" s="9"/>
      <c r="B89" s="9"/>
      <c r="C89" s="10" t="s">
        <v>451</v>
      </c>
      <c r="D89" s="11" t="s">
        <v>343</v>
      </c>
      <c r="E89" s="1345">
        <v>2047.72</v>
      </c>
      <c r="F89" s="1343">
        <f t="shared" si="33"/>
        <v>0</v>
      </c>
      <c r="G89" s="1351" t="s">
        <v>452</v>
      </c>
      <c r="H89" s="1352">
        <v>2047.72</v>
      </c>
      <c r="I89" s="1348">
        <f t="shared" si="27"/>
        <v>1</v>
      </c>
      <c r="J89" s="1344">
        <v>0</v>
      </c>
    </row>
    <row r="90" spans="1:10" x14ac:dyDescent="0.2">
      <c r="A90" s="9"/>
      <c r="B90" s="9"/>
      <c r="C90" s="10" t="s">
        <v>453</v>
      </c>
      <c r="D90" s="11" t="s">
        <v>454</v>
      </c>
      <c r="E90" s="1345">
        <v>194474.16</v>
      </c>
      <c r="F90" s="1343">
        <f t="shared" si="33"/>
        <v>0</v>
      </c>
      <c r="G90" s="1351" t="s">
        <v>455</v>
      </c>
      <c r="H90" s="1352">
        <v>174785.7</v>
      </c>
      <c r="I90" s="1348">
        <f t="shared" si="27"/>
        <v>0.89876053456150684</v>
      </c>
      <c r="J90" s="1344">
        <v>191375.74</v>
      </c>
    </row>
    <row r="91" spans="1:10" x14ac:dyDescent="0.2">
      <c r="A91" s="9"/>
      <c r="B91" s="9"/>
      <c r="C91" s="10" t="s">
        <v>345</v>
      </c>
      <c r="D91" s="11" t="s">
        <v>346</v>
      </c>
      <c r="E91" s="1345">
        <v>444168.73</v>
      </c>
      <c r="F91" s="1343">
        <f t="shared" si="33"/>
        <v>-24518.219999999972</v>
      </c>
      <c r="G91" s="1351" t="s">
        <v>456</v>
      </c>
      <c r="H91" s="1352">
        <v>393952.71</v>
      </c>
      <c r="I91" s="1348">
        <f t="shared" si="27"/>
        <v>0.93876380610141519</v>
      </c>
      <c r="J91" s="1344">
        <v>32897.57</v>
      </c>
    </row>
    <row r="92" spans="1:10" x14ac:dyDescent="0.2">
      <c r="A92" s="9"/>
      <c r="B92" s="9"/>
      <c r="C92" s="10" t="s">
        <v>457</v>
      </c>
      <c r="D92" s="11" t="s">
        <v>346</v>
      </c>
      <c r="E92" s="1345">
        <v>1145.8900000000001</v>
      </c>
      <c r="F92" s="1343">
        <f t="shared" si="33"/>
        <v>0</v>
      </c>
      <c r="G92" s="1351" t="s">
        <v>458</v>
      </c>
      <c r="H92" s="1352">
        <v>1145.8900000000001</v>
      </c>
      <c r="I92" s="1348">
        <f t="shared" si="27"/>
        <v>1</v>
      </c>
      <c r="J92" s="1344">
        <v>0</v>
      </c>
    </row>
    <row r="93" spans="1:10" x14ac:dyDescent="0.2">
      <c r="A93" s="9"/>
      <c r="B93" s="9"/>
      <c r="C93" s="10" t="s">
        <v>459</v>
      </c>
      <c r="D93" s="11" t="s">
        <v>346</v>
      </c>
      <c r="E93" s="1345">
        <v>352.02</v>
      </c>
      <c r="F93" s="1343">
        <f t="shared" si="33"/>
        <v>0</v>
      </c>
      <c r="G93" s="1351" t="s">
        <v>460</v>
      </c>
      <c r="H93" s="1352">
        <v>352.02</v>
      </c>
      <c r="I93" s="1348">
        <f t="shared" si="27"/>
        <v>1</v>
      </c>
      <c r="J93" s="1344">
        <v>0</v>
      </c>
    </row>
    <row r="94" spans="1:10" x14ac:dyDescent="0.2">
      <c r="A94" s="9"/>
      <c r="B94" s="9"/>
      <c r="C94" s="10" t="s">
        <v>348</v>
      </c>
      <c r="D94" s="11" t="s">
        <v>349</v>
      </c>
      <c r="E94" s="1345">
        <v>52037.45</v>
      </c>
      <c r="F94" s="1343">
        <f t="shared" si="33"/>
        <v>-643.95999999999913</v>
      </c>
      <c r="G94" s="1351" t="s">
        <v>461</v>
      </c>
      <c r="H94" s="1352">
        <v>36600</v>
      </c>
      <c r="I94" s="1348">
        <f t="shared" si="27"/>
        <v>0.71215245355005086</v>
      </c>
      <c r="J94" s="1344">
        <v>3002.24</v>
      </c>
    </row>
    <row r="95" spans="1:10" x14ac:dyDescent="0.2">
      <c r="A95" s="9"/>
      <c r="B95" s="9"/>
      <c r="C95" s="10" t="s">
        <v>462</v>
      </c>
      <c r="D95" s="11" t="s">
        <v>349</v>
      </c>
      <c r="E95" s="1345">
        <v>163.33000000000001</v>
      </c>
      <c r="F95" s="1343">
        <f t="shared" si="33"/>
        <v>0</v>
      </c>
      <c r="G95" s="1351" t="s">
        <v>463</v>
      </c>
      <c r="H95" s="1352">
        <v>163.33000000000001</v>
      </c>
      <c r="I95" s="1348">
        <f t="shared" si="27"/>
        <v>1</v>
      </c>
      <c r="J95" s="1344">
        <v>0</v>
      </c>
    </row>
    <row r="96" spans="1:10" x14ac:dyDescent="0.2">
      <c r="A96" s="9"/>
      <c r="B96" s="9"/>
      <c r="C96" s="10" t="s">
        <v>464</v>
      </c>
      <c r="D96" s="11" t="s">
        <v>349</v>
      </c>
      <c r="E96" s="1345">
        <v>50.17</v>
      </c>
      <c r="F96" s="1343">
        <f t="shared" si="33"/>
        <v>0</v>
      </c>
      <c r="G96" s="1351" t="s">
        <v>465</v>
      </c>
      <c r="H96" s="1352">
        <v>50.17</v>
      </c>
      <c r="I96" s="1348">
        <f t="shared" si="27"/>
        <v>1</v>
      </c>
      <c r="J96" s="1344">
        <v>0</v>
      </c>
    </row>
    <row r="97" spans="1:10" ht="22.5" x14ac:dyDescent="0.2">
      <c r="A97" s="9"/>
      <c r="B97" s="9"/>
      <c r="C97" s="10" t="s">
        <v>466</v>
      </c>
      <c r="D97" s="11" t="s">
        <v>467</v>
      </c>
      <c r="E97" s="1345">
        <v>30000</v>
      </c>
      <c r="F97" s="1343">
        <f t="shared" si="33"/>
        <v>-9890</v>
      </c>
      <c r="G97" s="1351" t="s">
        <v>468</v>
      </c>
      <c r="H97" s="1352">
        <v>16794</v>
      </c>
      <c r="I97" s="1348">
        <f t="shared" si="27"/>
        <v>0.83510691198408749</v>
      </c>
      <c r="J97" s="1344">
        <v>332</v>
      </c>
    </row>
    <row r="98" spans="1:10" x14ac:dyDescent="0.2">
      <c r="A98" s="9"/>
      <c r="B98" s="9"/>
      <c r="C98" s="10" t="s">
        <v>363</v>
      </c>
      <c r="D98" s="11" t="s">
        <v>364</v>
      </c>
      <c r="E98" s="1345">
        <v>25000</v>
      </c>
      <c r="F98" s="1343">
        <f t="shared" si="33"/>
        <v>2100</v>
      </c>
      <c r="G98" s="1351" t="s">
        <v>469</v>
      </c>
      <c r="H98" s="1352">
        <v>20197.89</v>
      </c>
      <c r="I98" s="1348">
        <f t="shared" si="27"/>
        <v>0.74530959409594089</v>
      </c>
      <c r="J98" s="1344">
        <v>0</v>
      </c>
    </row>
    <row r="99" spans="1:10" x14ac:dyDescent="0.2">
      <c r="A99" s="9"/>
      <c r="B99" s="9"/>
      <c r="C99" s="10" t="s">
        <v>351</v>
      </c>
      <c r="D99" s="11" t="s">
        <v>352</v>
      </c>
      <c r="E99" s="1345">
        <v>116700</v>
      </c>
      <c r="F99" s="1343">
        <f t="shared" si="33"/>
        <v>-16700</v>
      </c>
      <c r="G99" s="1351" t="s">
        <v>426</v>
      </c>
      <c r="H99" s="1352">
        <v>98911.01</v>
      </c>
      <c r="I99" s="1348">
        <f t="shared" si="27"/>
        <v>0.98911009999999999</v>
      </c>
      <c r="J99" s="1344">
        <v>87.72</v>
      </c>
    </row>
    <row r="100" spans="1:10" x14ac:dyDescent="0.2">
      <c r="A100" s="9"/>
      <c r="B100" s="9"/>
      <c r="C100" s="10" t="s">
        <v>367</v>
      </c>
      <c r="D100" s="11" t="s">
        <v>368</v>
      </c>
      <c r="E100" s="1345">
        <v>76000</v>
      </c>
      <c r="F100" s="1343">
        <f t="shared" si="33"/>
        <v>-2000</v>
      </c>
      <c r="G100" s="1351" t="s">
        <v>470</v>
      </c>
      <c r="H100" s="1352">
        <v>67774.58</v>
      </c>
      <c r="I100" s="1348">
        <f t="shared" si="27"/>
        <v>0.91587270270270271</v>
      </c>
      <c r="J100" s="1344">
        <v>7738.58</v>
      </c>
    </row>
    <row r="101" spans="1:10" x14ac:dyDescent="0.2">
      <c r="A101" s="9"/>
      <c r="B101" s="9"/>
      <c r="C101" s="10" t="s">
        <v>381</v>
      </c>
      <c r="D101" s="11" t="s">
        <v>382</v>
      </c>
      <c r="E101" s="1345">
        <v>72000</v>
      </c>
      <c r="F101" s="1343">
        <f t="shared" si="33"/>
        <v>56000</v>
      </c>
      <c r="G101" s="1351" t="s">
        <v>471</v>
      </c>
      <c r="H101" s="1691">
        <v>126578.74</v>
      </c>
      <c r="I101" s="1348">
        <f t="shared" si="27"/>
        <v>0.98889640625000008</v>
      </c>
      <c r="J101" s="1344">
        <v>0</v>
      </c>
    </row>
    <row r="102" spans="1:10" x14ac:dyDescent="0.2">
      <c r="A102" s="9"/>
      <c r="B102" s="9"/>
      <c r="C102" s="10" t="s">
        <v>472</v>
      </c>
      <c r="D102" s="11" t="s">
        <v>473</v>
      </c>
      <c r="E102" s="1345">
        <v>2500</v>
      </c>
      <c r="F102" s="1343">
        <f t="shared" si="33"/>
        <v>-500</v>
      </c>
      <c r="G102" s="1351" t="s">
        <v>126</v>
      </c>
      <c r="H102" s="1691">
        <v>1500</v>
      </c>
      <c r="I102" s="1348">
        <f t="shared" si="27"/>
        <v>0.75</v>
      </c>
      <c r="J102" s="1344">
        <v>0</v>
      </c>
    </row>
    <row r="103" spans="1:10" x14ac:dyDescent="0.2">
      <c r="A103" s="9"/>
      <c r="B103" s="9"/>
      <c r="C103" s="10" t="s">
        <v>354</v>
      </c>
      <c r="D103" s="11" t="s">
        <v>355</v>
      </c>
      <c r="E103" s="1345">
        <v>218500</v>
      </c>
      <c r="F103" s="1343">
        <f t="shared" si="33"/>
        <v>49000</v>
      </c>
      <c r="G103" s="1351" t="s">
        <v>474</v>
      </c>
      <c r="H103" s="1691">
        <v>264877.24</v>
      </c>
      <c r="I103" s="1348">
        <f t="shared" si="27"/>
        <v>0.99019528971962611</v>
      </c>
      <c r="J103" s="1344">
        <v>10110.81</v>
      </c>
    </row>
    <row r="104" spans="1:10" x14ac:dyDescent="0.2">
      <c r="A104" s="9"/>
      <c r="B104" s="9"/>
      <c r="C104" s="10" t="s">
        <v>475</v>
      </c>
      <c r="D104" s="11" t="s">
        <v>476</v>
      </c>
      <c r="E104" s="1345">
        <v>32500</v>
      </c>
      <c r="F104" s="1343">
        <f t="shared" si="33"/>
        <v>1500</v>
      </c>
      <c r="G104" s="1351" t="s">
        <v>477</v>
      </c>
      <c r="H104" s="1352">
        <v>33503.870000000003</v>
      </c>
      <c r="I104" s="1348">
        <f t="shared" si="27"/>
        <v>0.98540794117647068</v>
      </c>
      <c r="J104" s="1344">
        <v>0</v>
      </c>
    </row>
    <row r="105" spans="1:10" x14ac:dyDescent="0.2">
      <c r="A105" s="9"/>
      <c r="B105" s="9"/>
      <c r="C105" s="10" t="s">
        <v>478</v>
      </c>
      <c r="D105" s="11" t="s">
        <v>479</v>
      </c>
      <c r="E105" s="1345">
        <v>1000</v>
      </c>
      <c r="F105" s="1343">
        <f t="shared" si="33"/>
        <v>-754</v>
      </c>
      <c r="G105" s="1351" t="s">
        <v>480</v>
      </c>
      <c r="H105" s="1352">
        <v>246</v>
      </c>
      <c r="I105" s="1348">
        <f t="shared" si="27"/>
        <v>1</v>
      </c>
      <c r="J105" s="1344">
        <v>0</v>
      </c>
    </row>
    <row r="106" spans="1:10" ht="22.5" x14ac:dyDescent="0.2">
      <c r="A106" s="9"/>
      <c r="B106" s="9"/>
      <c r="C106" s="10" t="s">
        <v>481</v>
      </c>
      <c r="D106" s="11" t="s">
        <v>482</v>
      </c>
      <c r="E106" s="1345">
        <v>57000</v>
      </c>
      <c r="F106" s="1343">
        <f t="shared" si="33"/>
        <v>35072</v>
      </c>
      <c r="G106" s="1351" t="s">
        <v>483</v>
      </c>
      <c r="H106" s="1352">
        <v>91110</v>
      </c>
      <c r="I106" s="1348">
        <f t="shared" si="27"/>
        <v>0.98955165522634458</v>
      </c>
      <c r="J106" s="1344">
        <v>0</v>
      </c>
    </row>
    <row r="107" spans="1:10" x14ac:dyDescent="0.2">
      <c r="A107" s="9"/>
      <c r="B107" s="9"/>
      <c r="C107" s="10" t="s">
        <v>484</v>
      </c>
      <c r="D107" s="11" t="s">
        <v>485</v>
      </c>
      <c r="E107" s="1345">
        <v>38000</v>
      </c>
      <c r="F107" s="1343">
        <f t="shared" si="33"/>
        <v>0</v>
      </c>
      <c r="G107" s="1351" t="s">
        <v>486</v>
      </c>
      <c r="H107" s="1352">
        <v>35888.19</v>
      </c>
      <c r="I107" s="1348">
        <f t="shared" si="27"/>
        <v>0.94442605263157897</v>
      </c>
      <c r="J107" s="1344">
        <v>2017.78</v>
      </c>
    </row>
    <row r="108" spans="1:10" x14ac:dyDescent="0.2">
      <c r="A108" s="9"/>
      <c r="B108" s="9"/>
      <c r="C108" s="10" t="s">
        <v>443</v>
      </c>
      <c r="D108" s="11" t="s">
        <v>444</v>
      </c>
      <c r="E108" s="1345">
        <v>4000</v>
      </c>
      <c r="F108" s="1343">
        <f t="shared" si="33"/>
        <v>-2800</v>
      </c>
      <c r="G108" s="1351" t="s">
        <v>487</v>
      </c>
      <c r="H108" s="1352">
        <v>1176.81</v>
      </c>
      <c r="I108" s="1348">
        <f t="shared" si="27"/>
        <v>0.98067499999999996</v>
      </c>
      <c r="J108" s="1344">
        <v>0</v>
      </c>
    </row>
    <row r="109" spans="1:10" x14ac:dyDescent="0.2">
      <c r="A109" s="9"/>
      <c r="B109" s="9"/>
      <c r="C109" s="10" t="s">
        <v>357</v>
      </c>
      <c r="D109" s="11" t="s">
        <v>358</v>
      </c>
      <c r="E109" s="1345">
        <v>15000</v>
      </c>
      <c r="F109" s="1343">
        <f t="shared" si="33"/>
        <v>6000</v>
      </c>
      <c r="G109" s="1351" t="s">
        <v>488</v>
      </c>
      <c r="H109" s="1352">
        <v>20530.919999999998</v>
      </c>
      <c r="I109" s="1348">
        <f t="shared" si="27"/>
        <v>0.97766285714285706</v>
      </c>
      <c r="J109" s="1344">
        <v>12506</v>
      </c>
    </row>
    <row r="110" spans="1:10" ht="22.5" x14ac:dyDescent="0.2">
      <c r="A110" s="9"/>
      <c r="B110" s="9"/>
      <c r="C110" s="10" t="s">
        <v>489</v>
      </c>
      <c r="D110" s="11" t="s">
        <v>490</v>
      </c>
      <c r="E110" s="1345">
        <v>69741</v>
      </c>
      <c r="F110" s="1343">
        <f t="shared" si="33"/>
        <v>6529</v>
      </c>
      <c r="G110" s="1351" t="s">
        <v>491</v>
      </c>
      <c r="H110" s="1352">
        <v>71660</v>
      </c>
      <c r="I110" s="1348">
        <f t="shared" si="27"/>
        <v>0.93955683755080632</v>
      </c>
      <c r="J110" s="1344">
        <v>0</v>
      </c>
    </row>
    <row r="111" spans="1:10" ht="22.5" x14ac:dyDescent="0.2">
      <c r="A111" s="9"/>
      <c r="B111" s="9"/>
      <c r="C111" s="10" t="s">
        <v>420</v>
      </c>
      <c r="D111" s="11" t="s">
        <v>421</v>
      </c>
      <c r="E111" s="1345">
        <v>16895.63</v>
      </c>
      <c r="F111" s="1343">
        <f t="shared" si="33"/>
        <v>-4915.0000000000018</v>
      </c>
      <c r="G111" s="1351" t="s">
        <v>492</v>
      </c>
      <c r="H111" s="1352">
        <v>10808.69</v>
      </c>
      <c r="I111" s="1348">
        <f t="shared" si="27"/>
        <v>0.90218043625418709</v>
      </c>
      <c r="J111" s="1344">
        <v>0</v>
      </c>
    </row>
    <row r="112" spans="1:10" ht="22.5" x14ac:dyDescent="0.2">
      <c r="A112" s="9"/>
      <c r="B112" s="9"/>
      <c r="C112" s="10" t="s">
        <v>433</v>
      </c>
      <c r="D112" s="11" t="s">
        <v>434</v>
      </c>
      <c r="E112" s="1345">
        <v>27000</v>
      </c>
      <c r="F112" s="1343">
        <f t="shared" si="33"/>
        <v>6754</v>
      </c>
      <c r="G112" s="1351" t="s">
        <v>493</v>
      </c>
      <c r="H112" s="1352">
        <v>33539.9</v>
      </c>
      <c r="I112" s="1348">
        <f t="shared" si="27"/>
        <v>0.99365704805356403</v>
      </c>
      <c r="J112" s="1344">
        <v>0</v>
      </c>
    </row>
    <row r="113" spans="1:10" x14ac:dyDescent="0.2">
      <c r="A113" s="9"/>
      <c r="B113" s="9"/>
      <c r="C113" s="10" t="s">
        <v>360</v>
      </c>
      <c r="D113" s="11" t="s">
        <v>361</v>
      </c>
      <c r="E113" s="1345">
        <v>10000</v>
      </c>
      <c r="F113" s="1343">
        <f t="shared" si="33"/>
        <v>3000</v>
      </c>
      <c r="G113" s="1351" t="s">
        <v>494</v>
      </c>
      <c r="H113" s="1352">
        <v>12950.7</v>
      </c>
      <c r="I113" s="1348">
        <f t="shared" si="27"/>
        <v>0.99620769230769235</v>
      </c>
      <c r="J113" s="1344">
        <v>0</v>
      </c>
    </row>
    <row r="114" spans="1:10" ht="22.5" x14ac:dyDescent="0.2">
      <c r="A114" s="9"/>
      <c r="B114" s="9"/>
      <c r="C114" s="10" t="s">
        <v>395</v>
      </c>
      <c r="D114" s="11" t="s">
        <v>396</v>
      </c>
      <c r="E114" s="1345">
        <v>30000</v>
      </c>
      <c r="F114" s="1343">
        <f t="shared" si="33"/>
        <v>2700</v>
      </c>
      <c r="G114" s="1351" t="s">
        <v>495</v>
      </c>
      <c r="H114" s="1352">
        <v>32685.79</v>
      </c>
      <c r="I114" s="1348">
        <f t="shared" si="27"/>
        <v>0.99956544342507647</v>
      </c>
      <c r="J114" s="1344">
        <v>0</v>
      </c>
    </row>
    <row r="115" spans="1:10" ht="15" x14ac:dyDescent="0.2">
      <c r="A115" s="8"/>
      <c r="B115" s="1632" t="s">
        <v>496</v>
      </c>
      <c r="C115" s="1633"/>
      <c r="D115" s="1634" t="s">
        <v>497</v>
      </c>
      <c r="E115" s="1635">
        <f>E116+E117+E118</f>
        <v>76000</v>
      </c>
      <c r="F115" s="1636">
        <f t="shared" ref="F115:J115" si="34">F116+F117+F118</f>
        <v>7000</v>
      </c>
      <c r="G115" s="1637">
        <f t="shared" si="34"/>
        <v>83000</v>
      </c>
      <c r="H115" s="1637">
        <f t="shared" si="34"/>
        <v>72918.880000000005</v>
      </c>
      <c r="I115" s="1639">
        <f t="shared" si="27"/>
        <v>0.87854072289156637</v>
      </c>
      <c r="J115" s="1635">
        <f t="shared" si="34"/>
        <v>5601.5199999999995</v>
      </c>
    </row>
    <row r="116" spans="1:10" x14ac:dyDescent="0.2">
      <c r="A116" s="9"/>
      <c r="B116" s="9"/>
      <c r="C116" s="10" t="s">
        <v>363</v>
      </c>
      <c r="D116" s="11" t="s">
        <v>364</v>
      </c>
      <c r="E116" s="1345">
        <v>4500</v>
      </c>
      <c r="F116" s="1343">
        <f>G116-E116</f>
        <v>0</v>
      </c>
      <c r="G116" s="1351" t="s">
        <v>203</v>
      </c>
      <c r="H116" s="1352">
        <v>910</v>
      </c>
      <c r="I116" s="1348">
        <f t="shared" si="27"/>
        <v>0.20222222222222222</v>
      </c>
      <c r="J116" s="1344">
        <v>0</v>
      </c>
    </row>
    <row r="117" spans="1:10" x14ac:dyDescent="0.2">
      <c r="A117" s="9"/>
      <c r="B117" s="9"/>
      <c r="C117" s="10" t="s">
        <v>351</v>
      </c>
      <c r="D117" s="11" t="s">
        <v>352</v>
      </c>
      <c r="E117" s="1345">
        <v>31500</v>
      </c>
      <c r="F117" s="1343">
        <f t="shared" ref="F117:F118" si="35">G117-E117</f>
        <v>0</v>
      </c>
      <c r="G117" s="1351" t="s">
        <v>498</v>
      </c>
      <c r="H117" s="1352">
        <v>30532.09</v>
      </c>
      <c r="I117" s="1348">
        <f t="shared" si="27"/>
        <v>0.96927269841269836</v>
      </c>
      <c r="J117" s="1344">
        <v>80.319999999999993</v>
      </c>
    </row>
    <row r="118" spans="1:10" x14ac:dyDescent="0.2">
      <c r="A118" s="9"/>
      <c r="B118" s="9"/>
      <c r="C118" s="10" t="s">
        <v>354</v>
      </c>
      <c r="D118" s="11" t="s">
        <v>355</v>
      </c>
      <c r="E118" s="1345">
        <v>40000</v>
      </c>
      <c r="F118" s="1343">
        <f t="shared" si="35"/>
        <v>7000</v>
      </c>
      <c r="G118" s="1351" t="s">
        <v>499</v>
      </c>
      <c r="H118" s="1691">
        <v>41476.79</v>
      </c>
      <c r="I118" s="1348">
        <f t="shared" si="27"/>
        <v>0.88248489361702132</v>
      </c>
      <c r="J118" s="1344">
        <v>5521.2</v>
      </c>
    </row>
    <row r="119" spans="1:10" ht="22.5" x14ac:dyDescent="0.2">
      <c r="A119" s="8"/>
      <c r="B119" s="1632" t="s">
        <v>83</v>
      </c>
      <c r="C119" s="1633"/>
      <c r="D119" s="1634" t="s">
        <v>84</v>
      </c>
      <c r="E119" s="1635">
        <f>E120+E121+E122+E123+E124+E125+E126+E127+E128+E129+E130+E131+E132+E133+E134+E135+E136</f>
        <v>852747</v>
      </c>
      <c r="F119" s="1636">
        <f t="shared" ref="F119:J119" si="36">F120+F121+F122+F123+F124+F125+F126+F127+F128+F129+F130+F131+F132+F133+F134+F135+F136</f>
        <v>40103</v>
      </c>
      <c r="G119" s="1637">
        <f t="shared" si="36"/>
        <v>892850</v>
      </c>
      <c r="H119" s="1637">
        <f t="shared" si="36"/>
        <v>885487.89</v>
      </c>
      <c r="I119" s="1639">
        <f t="shared" si="27"/>
        <v>0.99175437083496665</v>
      </c>
      <c r="J119" s="1635">
        <f t="shared" si="36"/>
        <v>70892.45</v>
      </c>
    </row>
    <row r="120" spans="1:10" x14ac:dyDescent="0.2">
      <c r="A120" s="9"/>
      <c r="B120" s="9"/>
      <c r="C120" s="10" t="s">
        <v>445</v>
      </c>
      <c r="D120" s="11" t="s">
        <v>446</v>
      </c>
      <c r="E120" s="1345">
        <v>1350</v>
      </c>
      <c r="F120" s="1343">
        <f>G120-E120</f>
        <v>-500</v>
      </c>
      <c r="G120" s="1351" t="s">
        <v>500</v>
      </c>
      <c r="H120" s="1352">
        <v>239.32</v>
      </c>
      <c r="I120" s="1348">
        <f t="shared" si="27"/>
        <v>0.28155294117647056</v>
      </c>
      <c r="J120" s="1344">
        <v>0</v>
      </c>
    </row>
    <row r="121" spans="1:10" x14ac:dyDescent="0.2">
      <c r="A121" s="9"/>
      <c r="B121" s="9"/>
      <c r="C121" s="10" t="s">
        <v>342</v>
      </c>
      <c r="D121" s="11" t="s">
        <v>343</v>
      </c>
      <c r="E121" s="1345">
        <v>551413</v>
      </c>
      <c r="F121" s="1343">
        <f t="shared" ref="F121:F136" si="37">G121-E121</f>
        <v>39776</v>
      </c>
      <c r="G121" s="1351" t="s">
        <v>501</v>
      </c>
      <c r="H121" s="1352">
        <v>591189</v>
      </c>
      <c r="I121" s="1348">
        <f t="shared" si="27"/>
        <v>1</v>
      </c>
      <c r="J121" s="1344">
        <v>12770.81</v>
      </c>
    </row>
    <row r="122" spans="1:10" x14ac:dyDescent="0.2">
      <c r="A122" s="9"/>
      <c r="B122" s="9"/>
      <c r="C122" s="10" t="s">
        <v>453</v>
      </c>
      <c r="D122" s="11" t="s">
        <v>454</v>
      </c>
      <c r="E122" s="1345">
        <v>39335</v>
      </c>
      <c r="F122" s="1343">
        <f t="shared" si="37"/>
        <v>-8176</v>
      </c>
      <c r="G122" s="1351" t="s">
        <v>502</v>
      </c>
      <c r="H122" s="1352">
        <v>31158.18</v>
      </c>
      <c r="I122" s="1348">
        <f t="shared" si="27"/>
        <v>0.99997368336596171</v>
      </c>
      <c r="J122" s="1344">
        <v>42486.92</v>
      </c>
    </row>
    <row r="123" spans="1:10" x14ac:dyDescent="0.2">
      <c r="A123" s="9"/>
      <c r="B123" s="9"/>
      <c r="C123" s="10" t="s">
        <v>345</v>
      </c>
      <c r="D123" s="11" t="s">
        <v>346</v>
      </c>
      <c r="E123" s="1345">
        <v>98644</v>
      </c>
      <c r="F123" s="1343">
        <f t="shared" si="37"/>
        <v>105</v>
      </c>
      <c r="G123" s="1351" t="s">
        <v>503</v>
      </c>
      <c r="H123" s="1352">
        <v>98749</v>
      </c>
      <c r="I123" s="1348">
        <f t="shared" si="27"/>
        <v>1</v>
      </c>
      <c r="J123" s="1344">
        <v>13853.96</v>
      </c>
    </row>
    <row r="124" spans="1:10" x14ac:dyDescent="0.2">
      <c r="A124" s="9"/>
      <c r="B124" s="9"/>
      <c r="C124" s="10" t="s">
        <v>348</v>
      </c>
      <c r="D124" s="11" t="s">
        <v>349</v>
      </c>
      <c r="E124" s="1345">
        <v>14133</v>
      </c>
      <c r="F124" s="1343">
        <f t="shared" si="37"/>
        <v>-5485</v>
      </c>
      <c r="G124" s="1351" t="s">
        <v>504</v>
      </c>
      <c r="H124" s="1352">
        <v>8648</v>
      </c>
      <c r="I124" s="1348">
        <f t="shared" si="27"/>
        <v>1</v>
      </c>
      <c r="J124" s="1344">
        <v>1261.6400000000001</v>
      </c>
    </row>
    <row r="125" spans="1:10" x14ac:dyDescent="0.2">
      <c r="A125" s="9"/>
      <c r="B125" s="9"/>
      <c r="C125" s="10" t="s">
        <v>363</v>
      </c>
      <c r="D125" s="11" t="s">
        <v>364</v>
      </c>
      <c r="E125" s="1345">
        <v>0</v>
      </c>
      <c r="F125" s="1343">
        <f t="shared" si="37"/>
        <v>2000</v>
      </c>
      <c r="G125" s="1351" t="s">
        <v>126</v>
      </c>
      <c r="H125" s="1352">
        <v>1484</v>
      </c>
      <c r="I125" s="1348">
        <f t="shared" si="27"/>
        <v>0.74199999999999999</v>
      </c>
      <c r="J125" s="1344">
        <v>16</v>
      </c>
    </row>
    <row r="126" spans="1:10" x14ac:dyDescent="0.2">
      <c r="A126" s="9"/>
      <c r="B126" s="9"/>
      <c r="C126" s="10" t="s">
        <v>351</v>
      </c>
      <c r="D126" s="11" t="s">
        <v>352</v>
      </c>
      <c r="E126" s="1345">
        <v>40000</v>
      </c>
      <c r="F126" s="1343">
        <f t="shared" si="37"/>
        <v>-7500</v>
      </c>
      <c r="G126" s="1351" t="s">
        <v>505</v>
      </c>
      <c r="H126" s="1352">
        <v>32147.96</v>
      </c>
      <c r="I126" s="1348">
        <f t="shared" si="27"/>
        <v>0.98916799999999994</v>
      </c>
      <c r="J126" s="1344">
        <v>0</v>
      </c>
    </row>
    <row r="127" spans="1:10" x14ac:dyDescent="0.2">
      <c r="A127" s="9"/>
      <c r="B127" s="9"/>
      <c r="C127" s="10" t="s">
        <v>367</v>
      </c>
      <c r="D127" s="11" t="s">
        <v>368</v>
      </c>
      <c r="E127" s="1345">
        <v>4500</v>
      </c>
      <c r="F127" s="1343">
        <f t="shared" si="37"/>
        <v>0</v>
      </c>
      <c r="G127" s="1351" t="s">
        <v>203</v>
      </c>
      <c r="H127" s="1352">
        <v>1621.71</v>
      </c>
      <c r="I127" s="1348">
        <f t="shared" si="27"/>
        <v>0.36038000000000003</v>
      </c>
      <c r="J127" s="1344">
        <v>150.9</v>
      </c>
    </row>
    <row r="128" spans="1:10" x14ac:dyDescent="0.2">
      <c r="A128" s="9"/>
      <c r="B128" s="9"/>
      <c r="C128" s="10" t="s">
        <v>381</v>
      </c>
      <c r="D128" s="11" t="s">
        <v>382</v>
      </c>
      <c r="E128" s="1345">
        <v>25000</v>
      </c>
      <c r="F128" s="1343">
        <f t="shared" si="37"/>
        <v>-701</v>
      </c>
      <c r="G128" s="1351" t="s">
        <v>506</v>
      </c>
      <c r="H128" s="1352">
        <v>24298.9</v>
      </c>
      <c r="I128" s="1348">
        <f t="shared" si="27"/>
        <v>0.99999588460430477</v>
      </c>
      <c r="J128" s="1344">
        <v>0</v>
      </c>
    </row>
    <row r="129" spans="1:10" x14ac:dyDescent="0.2">
      <c r="A129" s="9"/>
      <c r="B129" s="9"/>
      <c r="C129" s="10" t="s">
        <v>472</v>
      </c>
      <c r="D129" s="11" t="s">
        <v>473</v>
      </c>
      <c r="E129" s="1345">
        <v>500</v>
      </c>
      <c r="F129" s="1343">
        <f t="shared" si="37"/>
        <v>0</v>
      </c>
      <c r="G129" s="1351" t="s">
        <v>255</v>
      </c>
      <c r="H129" s="1352">
        <v>135</v>
      </c>
      <c r="I129" s="1348">
        <f t="shared" si="27"/>
        <v>0.27</v>
      </c>
      <c r="J129" s="1344">
        <v>0</v>
      </c>
    </row>
    <row r="130" spans="1:10" x14ac:dyDescent="0.2">
      <c r="A130" s="9"/>
      <c r="B130" s="9"/>
      <c r="C130" s="10" t="s">
        <v>354</v>
      </c>
      <c r="D130" s="11" t="s">
        <v>355</v>
      </c>
      <c r="E130" s="1345">
        <v>28000</v>
      </c>
      <c r="F130" s="1343">
        <f t="shared" si="37"/>
        <v>14071</v>
      </c>
      <c r="G130" s="1351" t="s">
        <v>507</v>
      </c>
      <c r="H130" s="1352">
        <v>41139.519999999997</v>
      </c>
      <c r="I130" s="1348">
        <f t="shared" si="27"/>
        <v>0.97785933303225492</v>
      </c>
      <c r="J130" s="1344">
        <v>352.22</v>
      </c>
    </row>
    <row r="131" spans="1:10" x14ac:dyDescent="0.2">
      <c r="A131" s="9"/>
      <c r="B131" s="9"/>
      <c r="C131" s="10" t="s">
        <v>475</v>
      </c>
      <c r="D131" s="11" t="s">
        <v>476</v>
      </c>
      <c r="E131" s="1345">
        <v>2880</v>
      </c>
      <c r="F131" s="1343">
        <f t="shared" si="37"/>
        <v>0</v>
      </c>
      <c r="G131" s="1351" t="s">
        <v>508</v>
      </c>
      <c r="H131" s="1352">
        <v>2661.81</v>
      </c>
      <c r="I131" s="1348">
        <f t="shared" si="27"/>
        <v>0.92423958333333334</v>
      </c>
      <c r="J131" s="1344">
        <v>0</v>
      </c>
    </row>
    <row r="132" spans="1:10" ht="22.5" x14ac:dyDescent="0.2">
      <c r="A132" s="9"/>
      <c r="B132" s="9"/>
      <c r="C132" s="10" t="s">
        <v>481</v>
      </c>
      <c r="D132" s="11" t="s">
        <v>482</v>
      </c>
      <c r="E132" s="1345">
        <v>30000</v>
      </c>
      <c r="F132" s="1343">
        <f t="shared" si="37"/>
        <v>0</v>
      </c>
      <c r="G132" s="1351" t="s">
        <v>138</v>
      </c>
      <c r="H132" s="1352">
        <v>30000</v>
      </c>
      <c r="I132" s="1348">
        <f t="shared" si="27"/>
        <v>1</v>
      </c>
      <c r="J132" s="1344">
        <v>0</v>
      </c>
    </row>
    <row r="133" spans="1:10" x14ac:dyDescent="0.2">
      <c r="A133" s="9"/>
      <c r="B133" s="9"/>
      <c r="C133" s="10" t="s">
        <v>484</v>
      </c>
      <c r="D133" s="11" t="s">
        <v>485</v>
      </c>
      <c r="E133" s="1345">
        <v>3600</v>
      </c>
      <c r="F133" s="1343">
        <f t="shared" si="37"/>
        <v>0</v>
      </c>
      <c r="G133" s="1351" t="s">
        <v>509</v>
      </c>
      <c r="H133" s="1352">
        <v>3014.89</v>
      </c>
      <c r="I133" s="1348">
        <f t="shared" si="27"/>
        <v>0.83746944444444438</v>
      </c>
      <c r="J133" s="1344">
        <v>0</v>
      </c>
    </row>
    <row r="134" spans="1:10" x14ac:dyDescent="0.2">
      <c r="A134" s="9"/>
      <c r="B134" s="9"/>
      <c r="C134" s="10" t="s">
        <v>357</v>
      </c>
      <c r="D134" s="11" t="s">
        <v>358</v>
      </c>
      <c r="E134" s="1345">
        <v>0</v>
      </c>
      <c r="F134" s="1343">
        <f t="shared" si="37"/>
        <v>63</v>
      </c>
      <c r="G134" s="1351" t="s">
        <v>510</v>
      </c>
      <c r="H134" s="1352">
        <v>63</v>
      </c>
      <c r="I134" s="1348">
        <f t="shared" si="27"/>
        <v>1</v>
      </c>
      <c r="J134" s="1344">
        <v>0</v>
      </c>
    </row>
    <row r="135" spans="1:10" ht="22.5" x14ac:dyDescent="0.2">
      <c r="A135" s="9"/>
      <c r="B135" s="9"/>
      <c r="C135" s="10" t="s">
        <v>489</v>
      </c>
      <c r="D135" s="11" t="s">
        <v>490</v>
      </c>
      <c r="E135" s="1345">
        <v>10392</v>
      </c>
      <c r="F135" s="1343">
        <f t="shared" si="37"/>
        <v>0</v>
      </c>
      <c r="G135" s="1351" t="s">
        <v>511</v>
      </c>
      <c r="H135" s="1352">
        <v>10392</v>
      </c>
      <c r="I135" s="1348">
        <f t="shared" ref="I135:I198" si="38">H135/G135</f>
        <v>1</v>
      </c>
      <c r="J135" s="1344">
        <v>0</v>
      </c>
    </row>
    <row r="136" spans="1:10" ht="22.5" x14ac:dyDescent="0.2">
      <c r="A136" s="9"/>
      <c r="B136" s="9"/>
      <c r="C136" s="10" t="s">
        <v>433</v>
      </c>
      <c r="D136" s="11" t="s">
        <v>434</v>
      </c>
      <c r="E136" s="1345">
        <v>3000</v>
      </c>
      <c r="F136" s="1343">
        <f t="shared" si="37"/>
        <v>6450</v>
      </c>
      <c r="G136" s="1351" t="s">
        <v>512</v>
      </c>
      <c r="H136" s="1352">
        <v>8545.6</v>
      </c>
      <c r="I136" s="1348">
        <f t="shared" si="38"/>
        <v>0.90429629629629638</v>
      </c>
      <c r="J136" s="1344">
        <v>0</v>
      </c>
    </row>
    <row r="137" spans="1:10" ht="15" x14ac:dyDescent="0.2">
      <c r="A137" s="8"/>
      <c r="B137" s="1632" t="s">
        <v>513</v>
      </c>
      <c r="C137" s="1633"/>
      <c r="D137" s="1634" t="s">
        <v>14</v>
      </c>
      <c r="E137" s="1635">
        <f>E138+E139+E140</f>
        <v>183280</v>
      </c>
      <c r="F137" s="1636">
        <f t="shared" ref="F137:J137" si="39">F138+F139+F140</f>
        <v>0</v>
      </c>
      <c r="G137" s="1637">
        <f t="shared" si="39"/>
        <v>183280</v>
      </c>
      <c r="H137" s="1637">
        <f t="shared" si="39"/>
        <v>172668.01</v>
      </c>
      <c r="I137" s="1639">
        <f t="shared" si="38"/>
        <v>0.94209957442164993</v>
      </c>
      <c r="J137" s="1635">
        <f t="shared" si="39"/>
        <v>93</v>
      </c>
    </row>
    <row r="138" spans="1:10" x14ac:dyDescent="0.2">
      <c r="A138" s="9"/>
      <c r="B138" s="9"/>
      <c r="C138" s="10" t="s">
        <v>438</v>
      </c>
      <c r="D138" s="11" t="s">
        <v>439</v>
      </c>
      <c r="E138" s="1345">
        <v>106080</v>
      </c>
      <c r="F138" s="1343">
        <f>G138-E138</f>
        <v>0</v>
      </c>
      <c r="G138" s="1351" t="s">
        <v>514</v>
      </c>
      <c r="H138" s="1352">
        <v>106080</v>
      </c>
      <c r="I138" s="1348">
        <f t="shared" si="38"/>
        <v>1</v>
      </c>
      <c r="J138" s="1344">
        <v>0</v>
      </c>
    </row>
    <row r="139" spans="1:10" x14ac:dyDescent="0.2">
      <c r="A139" s="9"/>
      <c r="B139" s="9"/>
      <c r="C139" s="10" t="s">
        <v>515</v>
      </c>
      <c r="D139" s="11" t="s">
        <v>516</v>
      </c>
      <c r="E139" s="1345">
        <v>6000</v>
      </c>
      <c r="F139" s="1343">
        <f t="shared" ref="F139:F140" si="40">G139-E139</f>
        <v>0</v>
      </c>
      <c r="G139" s="1351" t="s">
        <v>47</v>
      </c>
      <c r="H139" s="1352">
        <v>1797</v>
      </c>
      <c r="I139" s="1348">
        <f t="shared" si="38"/>
        <v>0.29949999999999999</v>
      </c>
      <c r="J139" s="1344">
        <v>93</v>
      </c>
    </row>
    <row r="140" spans="1:10" x14ac:dyDescent="0.2">
      <c r="A140" s="9"/>
      <c r="B140" s="9"/>
      <c r="C140" s="10" t="s">
        <v>357</v>
      </c>
      <c r="D140" s="11" t="s">
        <v>358</v>
      </c>
      <c r="E140" s="1345">
        <v>71200</v>
      </c>
      <c r="F140" s="1343">
        <f t="shared" si="40"/>
        <v>0</v>
      </c>
      <c r="G140" s="1351" t="s">
        <v>517</v>
      </c>
      <c r="H140" s="1352">
        <v>64791.01</v>
      </c>
      <c r="I140" s="1348">
        <f t="shared" si="38"/>
        <v>0.90998609550561804</v>
      </c>
      <c r="J140" s="1344">
        <v>0</v>
      </c>
    </row>
    <row r="141" spans="1:10" ht="33.75" x14ac:dyDescent="0.2">
      <c r="A141" s="1640" t="s">
        <v>88</v>
      </c>
      <c r="B141" s="1640"/>
      <c r="C141" s="1640"/>
      <c r="D141" s="1641" t="s">
        <v>89</v>
      </c>
      <c r="E141" s="1642">
        <f>E142</f>
        <v>3491</v>
      </c>
      <c r="F141" s="1643">
        <f t="shared" ref="F141:J141" si="41">F142</f>
        <v>0</v>
      </c>
      <c r="G141" s="1644">
        <f t="shared" si="41"/>
        <v>3491</v>
      </c>
      <c r="H141" s="1644">
        <f t="shared" si="41"/>
        <v>3491</v>
      </c>
      <c r="I141" s="1645">
        <f t="shared" si="38"/>
        <v>1</v>
      </c>
      <c r="J141" s="1642">
        <f t="shared" si="41"/>
        <v>0</v>
      </c>
    </row>
    <row r="142" spans="1:10" ht="22.5" x14ac:dyDescent="0.2">
      <c r="A142" s="8"/>
      <c r="B142" s="1632" t="s">
        <v>91</v>
      </c>
      <c r="C142" s="1633"/>
      <c r="D142" s="1634" t="s">
        <v>92</v>
      </c>
      <c r="E142" s="1635">
        <f>E143+E144+E145</f>
        <v>3491</v>
      </c>
      <c r="F142" s="1636">
        <f t="shared" ref="F142:J142" si="42">F143+F144+F145</f>
        <v>0</v>
      </c>
      <c r="G142" s="1637">
        <f t="shared" si="42"/>
        <v>3491</v>
      </c>
      <c r="H142" s="1637">
        <f t="shared" si="42"/>
        <v>3491</v>
      </c>
      <c r="I142" s="1639">
        <f t="shared" si="38"/>
        <v>1</v>
      </c>
      <c r="J142" s="1635">
        <f t="shared" si="42"/>
        <v>0</v>
      </c>
    </row>
    <row r="143" spans="1:10" x14ac:dyDescent="0.2">
      <c r="A143" s="9"/>
      <c r="B143" s="9"/>
      <c r="C143" s="10" t="s">
        <v>342</v>
      </c>
      <c r="D143" s="11" t="s">
        <v>343</v>
      </c>
      <c r="E143" s="1345">
        <v>2917.92</v>
      </c>
      <c r="F143" s="1343">
        <f>G143-E143</f>
        <v>29.789999999999964</v>
      </c>
      <c r="G143" s="1351" t="s">
        <v>518</v>
      </c>
      <c r="H143" s="1352">
        <v>2947.71</v>
      </c>
      <c r="I143" s="1348">
        <f t="shared" si="38"/>
        <v>1</v>
      </c>
      <c r="J143" s="1344">
        <v>0</v>
      </c>
    </row>
    <row r="144" spans="1:10" x14ac:dyDescent="0.2">
      <c r="A144" s="9"/>
      <c r="B144" s="9"/>
      <c r="C144" s="10" t="s">
        <v>345</v>
      </c>
      <c r="D144" s="11" t="s">
        <v>346</v>
      </c>
      <c r="E144" s="1345">
        <v>501.59</v>
      </c>
      <c r="F144" s="1343">
        <f t="shared" ref="F144:F145" si="43">G144-E144</f>
        <v>5.1200000000000045</v>
      </c>
      <c r="G144" s="1351" t="s">
        <v>519</v>
      </c>
      <c r="H144" s="1352">
        <v>506.71</v>
      </c>
      <c r="I144" s="1348">
        <f t="shared" si="38"/>
        <v>1</v>
      </c>
      <c r="J144" s="1344">
        <v>0</v>
      </c>
    </row>
    <row r="145" spans="1:10" x14ac:dyDescent="0.2">
      <c r="A145" s="9"/>
      <c r="B145" s="9"/>
      <c r="C145" s="10" t="s">
        <v>348</v>
      </c>
      <c r="D145" s="11" t="s">
        <v>349</v>
      </c>
      <c r="E145" s="1345">
        <v>71.489999999999995</v>
      </c>
      <c r="F145" s="1343">
        <f t="shared" si="43"/>
        <v>-34.909999999999997</v>
      </c>
      <c r="G145" s="1351" t="s">
        <v>520</v>
      </c>
      <c r="H145" s="1352">
        <v>36.58</v>
      </c>
      <c r="I145" s="1348">
        <f t="shared" si="38"/>
        <v>1</v>
      </c>
      <c r="J145" s="1344">
        <v>0</v>
      </c>
    </row>
    <row r="146" spans="1:10" ht="22.5" x14ac:dyDescent="0.2">
      <c r="A146" s="1640" t="s">
        <v>93</v>
      </c>
      <c r="B146" s="1640"/>
      <c r="C146" s="1640"/>
      <c r="D146" s="1641" t="s">
        <v>94</v>
      </c>
      <c r="E146" s="1642">
        <f>E147+E149+E166+E171+E173</f>
        <v>544710.97</v>
      </c>
      <c r="F146" s="1643">
        <f t="shared" ref="F146:J146" si="44">F147+F149+F166+F171+F173</f>
        <v>247400</v>
      </c>
      <c r="G146" s="1644">
        <f t="shared" si="44"/>
        <v>792110.97</v>
      </c>
      <c r="H146" s="1644">
        <f t="shared" si="44"/>
        <v>757159.30000000016</v>
      </c>
      <c r="I146" s="1645">
        <f t="shared" si="38"/>
        <v>0.95587528600948446</v>
      </c>
      <c r="J146" s="1642">
        <f t="shared" si="44"/>
        <v>8137.8099999999995</v>
      </c>
    </row>
    <row r="147" spans="1:10" ht="15" x14ac:dyDescent="0.2">
      <c r="A147" s="8"/>
      <c r="B147" s="1632" t="s">
        <v>521</v>
      </c>
      <c r="C147" s="1633"/>
      <c r="D147" s="1634" t="s">
        <v>522</v>
      </c>
      <c r="E147" s="1635">
        <f>E148</f>
        <v>0</v>
      </c>
      <c r="F147" s="1636">
        <f t="shared" ref="F147:J147" si="45">F148</f>
        <v>42500</v>
      </c>
      <c r="G147" s="1637" t="str">
        <f t="shared" si="45"/>
        <v>42 500,00</v>
      </c>
      <c r="H147" s="1637">
        <f t="shared" si="45"/>
        <v>42500</v>
      </c>
      <c r="I147" s="1639">
        <f t="shared" si="38"/>
        <v>1</v>
      </c>
      <c r="J147" s="1635">
        <f t="shared" si="45"/>
        <v>0</v>
      </c>
    </row>
    <row r="148" spans="1:10" ht="33.75" x14ac:dyDescent="0.2">
      <c r="A148" s="9"/>
      <c r="B148" s="9"/>
      <c r="C148" s="10" t="s">
        <v>524</v>
      </c>
      <c r="D148" s="11" t="s">
        <v>525</v>
      </c>
      <c r="E148" s="1345">
        <v>0</v>
      </c>
      <c r="F148" s="1343">
        <f>G148-E148</f>
        <v>42500</v>
      </c>
      <c r="G148" s="1351" t="s">
        <v>523</v>
      </c>
      <c r="H148" s="1352">
        <v>42500</v>
      </c>
      <c r="I148" s="1348">
        <f t="shared" si="38"/>
        <v>1</v>
      </c>
      <c r="J148" s="1344">
        <v>0</v>
      </c>
    </row>
    <row r="149" spans="1:10" ht="15" x14ac:dyDescent="0.2">
      <c r="A149" s="8"/>
      <c r="B149" s="1632" t="s">
        <v>96</v>
      </c>
      <c r="C149" s="1633"/>
      <c r="D149" s="1634" t="s">
        <v>97</v>
      </c>
      <c r="E149" s="1635">
        <f>E150+E151+E152+E153+E154+E155+E156+E157+E158+E159+E160+E161+E162+E163+E164+E165</f>
        <v>450680.97</v>
      </c>
      <c r="F149" s="1636">
        <f t="shared" ref="F149:J149" si="46">F150+F151+F152+F153+F154+F155+F156+F157+F158+F159+F160+F161+F162+F163+F164+F165</f>
        <v>194900</v>
      </c>
      <c r="G149" s="1637">
        <f t="shared" si="46"/>
        <v>645580.97</v>
      </c>
      <c r="H149" s="1637">
        <f t="shared" si="46"/>
        <v>623612.33000000007</v>
      </c>
      <c r="I149" s="1639">
        <f t="shared" si="38"/>
        <v>0.96597074415003292</v>
      </c>
      <c r="J149" s="1635">
        <f t="shared" si="46"/>
        <v>7954.86</v>
      </c>
    </row>
    <row r="150" spans="1:10" ht="33.75" x14ac:dyDescent="0.2">
      <c r="A150" s="9"/>
      <c r="B150" s="9"/>
      <c r="C150" s="10" t="s">
        <v>526</v>
      </c>
      <c r="D150" s="11" t="s">
        <v>527</v>
      </c>
      <c r="E150" s="1345">
        <v>30000</v>
      </c>
      <c r="F150" s="1343">
        <f>G150-E150</f>
        <v>0</v>
      </c>
      <c r="G150" s="1351" t="s">
        <v>138</v>
      </c>
      <c r="H150" s="1352">
        <v>30000</v>
      </c>
      <c r="I150" s="1348">
        <f t="shared" si="38"/>
        <v>1</v>
      </c>
      <c r="J150" s="1344">
        <v>0</v>
      </c>
    </row>
    <row r="151" spans="1:10" x14ac:dyDescent="0.2">
      <c r="A151" s="9"/>
      <c r="B151" s="9"/>
      <c r="C151" s="10" t="s">
        <v>438</v>
      </c>
      <c r="D151" s="11" t="s">
        <v>439</v>
      </c>
      <c r="E151" s="1345">
        <v>60000</v>
      </c>
      <c r="F151" s="1343">
        <f t="shared" ref="F151:F165" si="47">G151-E151</f>
        <v>13000</v>
      </c>
      <c r="G151" s="1351" t="s">
        <v>529</v>
      </c>
      <c r="H151" s="1352">
        <v>67677</v>
      </c>
      <c r="I151" s="1348">
        <f t="shared" si="38"/>
        <v>0.92708219178082196</v>
      </c>
      <c r="J151" s="1344">
        <v>2760</v>
      </c>
    </row>
    <row r="152" spans="1:10" x14ac:dyDescent="0.2">
      <c r="A152" s="9"/>
      <c r="B152" s="9"/>
      <c r="C152" s="10" t="s">
        <v>345</v>
      </c>
      <c r="D152" s="11" t="s">
        <v>346</v>
      </c>
      <c r="E152" s="1345">
        <v>6757.73</v>
      </c>
      <c r="F152" s="1343">
        <f t="shared" si="47"/>
        <v>389.8700000000008</v>
      </c>
      <c r="G152" s="1351" t="s">
        <v>530</v>
      </c>
      <c r="H152" s="1352">
        <v>6524.88</v>
      </c>
      <c r="I152" s="1348">
        <f t="shared" si="38"/>
        <v>0.91287704963903959</v>
      </c>
      <c r="J152" s="1344">
        <v>0</v>
      </c>
    </row>
    <row r="153" spans="1:10" x14ac:dyDescent="0.2">
      <c r="A153" s="9"/>
      <c r="B153" s="9"/>
      <c r="C153" s="10" t="s">
        <v>348</v>
      </c>
      <c r="D153" s="11" t="s">
        <v>349</v>
      </c>
      <c r="E153" s="1345">
        <v>963.15</v>
      </c>
      <c r="F153" s="1343">
        <f t="shared" si="47"/>
        <v>55.57000000000005</v>
      </c>
      <c r="G153" s="1351" t="s">
        <v>531</v>
      </c>
      <c r="H153" s="1352">
        <v>855.33</v>
      </c>
      <c r="I153" s="1348">
        <f t="shared" si="38"/>
        <v>0.83961245484529612</v>
      </c>
      <c r="J153" s="1344">
        <v>0</v>
      </c>
    </row>
    <row r="154" spans="1:10" x14ac:dyDescent="0.2">
      <c r="A154" s="9"/>
      <c r="B154" s="9"/>
      <c r="C154" s="10" t="s">
        <v>363</v>
      </c>
      <c r="D154" s="11" t="s">
        <v>364</v>
      </c>
      <c r="E154" s="1345">
        <v>39312</v>
      </c>
      <c r="F154" s="1343">
        <f t="shared" si="47"/>
        <v>2268</v>
      </c>
      <c r="G154" s="1351" t="s">
        <v>532</v>
      </c>
      <c r="H154" s="1352">
        <v>37956</v>
      </c>
      <c r="I154" s="1348">
        <f t="shared" si="38"/>
        <v>0.91284271284271279</v>
      </c>
      <c r="J154" s="1344">
        <v>0</v>
      </c>
    </row>
    <row r="155" spans="1:10" x14ac:dyDescent="0.2">
      <c r="A155" s="9"/>
      <c r="B155" s="9"/>
      <c r="C155" s="10" t="s">
        <v>441</v>
      </c>
      <c r="D155" s="11" t="s">
        <v>442</v>
      </c>
      <c r="E155" s="1345">
        <v>0</v>
      </c>
      <c r="F155" s="1343">
        <f t="shared" si="47"/>
        <v>840</v>
      </c>
      <c r="G155" s="1351" t="s">
        <v>533</v>
      </c>
      <c r="H155" s="1691">
        <v>840</v>
      </c>
      <c r="I155" s="1348">
        <f t="shared" si="38"/>
        <v>1</v>
      </c>
      <c r="J155" s="1344">
        <v>0</v>
      </c>
    </row>
    <row r="156" spans="1:10" x14ac:dyDescent="0.2">
      <c r="A156" s="9"/>
      <c r="B156" s="9"/>
      <c r="C156" s="10" t="s">
        <v>351</v>
      </c>
      <c r="D156" s="11" t="s">
        <v>352</v>
      </c>
      <c r="E156" s="1345">
        <v>144648.09</v>
      </c>
      <c r="F156" s="1343">
        <f t="shared" si="47"/>
        <v>2160</v>
      </c>
      <c r="G156" s="1351" t="s">
        <v>534</v>
      </c>
      <c r="H156" s="1691">
        <v>143897.94</v>
      </c>
      <c r="I156" s="1348">
        <f t="shared" si="38"/>
        <v>0.98017718233375295</v>
      </c>
      <c r="J156" s="1344">
        <v>0</v>
      </c>
    </row>
    <row r="157" spans="1:10" x14ac:dyDescent="0.2">
      <c r="A157" s="9"/>
      <c r="B157" s="9"/>
      <c r="C157" s="10" t="s">
        <v>367</v>
      </c>
      <c r="D157" s="11" t="s">
        <v>368</v>
      </c>
      <c r="E157" s="1345">
        <v>52000</v>
      </c>
      <c r="F157" s="1343">
        <f t="shared" si="47"/>
        <v>-9713.4400000000023</v>
      </c>
      <c r="G157" s="1351" t="s">
        <v>535</v>
      </c>
      <c r="H157" s="1691">
        <v>35379.56</v>
      </c>
      <c r="I157" s="1348">
        <f t="shared" si="38"/>
        <v>0.83666205054277287</v>
      </c>
      <c r="J157" s="1344">
        <v>1605.11</v>
      </c>
    </row>
    <row r="158" spans="1:10" x14ac:dyDescent="0.2">
      <c r="A158" s="9"/>
      <c r="B158" s="9"/>
      <c r="C158" s="10" t="s">
        <v>381</v>
      </c>
      <c r="D158" s="11" t="s">
        <v>382</v>
      </c>
      <c r="E158" s="1345">
        <v>10000</v>
      </c>
      <c r="F158" s="1343">
        <f t="shared" si="47"/>
        <v>-10000</v>
      </c>
      <c r="G158" s="1351" t="s">
        <v>7</v>
      </c>
      <c r="H158" s="1691">
        <v>0</v>
      </c>
      <c r="I158" s="1348">
        <v>0</v>
      </c>
      <c r="J158" s="1344">
        <v>0</v>
      </c>
    </row>
    <row r="159" spans="1:10" x14ac:dyDescent="0.2">
      <c r="A159" s="9"/>
      <c r="B159" s="9"/>
      <c r="C159" s="10" t="s">
        <v>472</v>
      </c>
      <c r="D159" s="11" t="s">
        <v>473</v>
      </c>
      <c r="E159" s="1345">
        <v>25000</v>
      </c>
      <c r="F159" s="1343">
        <f t="shared" si="47"/>
        <v>-11000</v>
      </c>
      <c r="G159" s="1351" t="s">
        <v>207</v>
      </c>
      <c r="H159" s="1691">
        <v>13920</v>
      </c>
      <c r="I159" s="1348">
        <f t="shared" si="38"/>
        <v>0.99428571428571433</v>
      </c>
      <c r="J159" s="1344">
        <v>0</v>
      </c>
    </row>
    <row r="160" spans="1:10" x14ac:dyDescent="0.2">
      <c r="A160" s="9"/>
      <c r="B160" s="9"/>
      <c r="C160" s="10" t="s">
        <v>354</v>
      </c>
      <c r="D160" s="11" t="s">
        <v>355</v>
      </c>
      <c r="E160" s="1345">
        <v>42000</v>
      </c>
      <c r="F160" s="1343">
        <f t="shared" si="47"/>
        <v>14260</v>
      </c>
      <c r="G160" s="1351" t="s">
        <v>536</v>
      </c>
      <c r="H160" s="1691">
        <v>55539.62</v>
      </c>
      <c r="I160" s="1348">
        <f t="shared" si="38"/>
        <v>0.98719552079630291</v>
      </c>
      <c r="J160" s="1344">
        <v>153</v>
      </c>
    </row>
    <row r="161" spans="1:10" x14ac:dyDescent="0.2">
      <c r="A161" s="9"/>
      <c r="B161" s="9"/>
      <c r="C161" s="10" t="s">
        <v>475</v>
      </c>
      <c r="D161" s="11" t="s">
        <v>476</v>
      </c>
      <c r="E161" s="1345">
        <v>3000</v>
      </c>
      <c r="F161" s="1343">
        <f t="shared" si="47"/>
        <v>0</v>
      </c>
      <c r="G161" s="1351" t="s">
        <v>528</v>
      </c>
      <c r="H161" s="1691">
        <v>2087.34</v>
      </c>
      <c r="I161" s="1348">
        <f t="shared" si="38"/>
        <v>0.69578000000000007</v>
      </c>
      <c r="J161" s="1344">
        <v>0</v>
      </c>
    </row>
    <row r="162" spans="1:10" x14ac:dyDescent="0.2">
      <c r="A162" s="9"/>
      <c r="B162" s="9"/>
      <c r="C162" s="10" t="s">
        <v>357</v>
      </c>
      <c r="D162" s="11" t="s">
        <v>358</v>
      </c>
      <c r="E162" s="1345">
        <v>37000</v>
      </c>
      <c r="F162" s="1343">
        <f t="shared" si="47"/>
        <v>0</v>
      </c>
      <c r="G162" s="1351" t="s">
        <v>394</v>
      </c>
      <c r="H162" s="1352">
        <v>36416.25</v>
      </c>
      <c r="I162" s="1348">
        <f t="shared" si="38"/>
        <v>0.98422297297297301</v>
      </c>
      <c r="J162" s="1344">
        <v>3436.75</v>
      </c>
    </row>
    <row r="163" spans="1:10" x14ac:dyDescent="0.2">
      <c r="A163" s="9"/>
      <c r="B163" s="9"/>
      <c r="C163" s="10" t="s">
        <v>360</v>
      </c>
      <c r="D163" s="11" t="s">
        <v>361</v>
      </c>
      <c r="E163" s="1345">
        <v>0</v>
      </c>
      <c r="F163" s="1343">
        <f t="shared" si="47"/>
        <v>40000</v>
      </c>
      <c r="G163" s="1351" t="s">
        <v>397</v>
      </c>
      <c r="H163" s="1352">
        <v>39878.410000000003</v>
      </c>
      <c r="I163" s="1348">
        <f t="shared" si="38"/>
        <v>0.9969602500000001</v>
      </c>
      <c r="J163" s="1344">
        <v>0</v>
      </c>
    </row>
    <row r="164" spans="1:10" ht="22.5" x14ac:dyDescent="0.2">
      <c r="A164" s="9"/>
      <c r="B164" s="9"/>
      <c r="C164" s="10" t="s">
        <v>395</v>
      </c>
      <c r="D164" s="11" t="s">
        <v>396</v>
      </c>
      <c r="E164" s="1345">
        <v>0</v>
      </c>
      <c r="F164" s="1343">
        <f t="shared" si="47"/>
        <v>29740</v>
      </c>
      <c r="G164" s="1351" t="s">
        <v>537</v>
      </c>
      <c r="H164" s="1352">
        <v>29740</v>
      </c>
      <c r="I164" s="1348">
        <f t="shared" si="38"/>
        <v>1</v>
      </c>
      <c r="J164" s="1344">
        <v>0</v>
      </c>
    </row>
    <row r="165" spans="1:10" ht="45" x14ac:dyDescent="0.2">
      <c r="A165" s="9"/>
      <c r="B165" s="9"/>
      <c r="C165" s="10" t="s">
        <v>538</v>
      </c>
      <c r="D165" s="11" t="s">
        <v>539</v>
      </c>
      <c r="E165" s="1345">
        <v>0</v>
      </c>
      <c r="F165" s="1343">
        <f t="shared" si="47"/>
        <v>122900</v>
      </c>
      <c r="G165" s="1351" t="s">
        <v>540</v>
      </c>
      <c r="H165" s="1352">
        <v>122900</v>
      </c>
      <c r="I165" s="1348">
        <f t="shared" si="38"/>
        <v>1</v>
      </c>
      <c r="J165" s="1344">
        <v>0</v>
      </c>
    </row>
    <row r="166" spans="1:10" ht="15" x14ac:dyDescent="0.2">
      <c r="A166" s="8"/>
      <c r="B166" s="1632" t="s">
        <v>541</v>
      </c>
      <c r="C166" s="1633"/>
      <c r="D166" s="1634" t="s">
        <v>542</v>
      </c>
      <c r="E166" s="1635">
        <f>E167+E168+E169+E170</f>
        <v>9200</v>
      </c>
      <c r="F166" s="1636">
        <f t="shared" ref="F166:J166" si="48">F167+F168+F169+F170</f>
        <v>0</v>
      </c>
      <c r="G166" s="1637">
        <f t="shared" si="48"/>
        <v>9200</v>
      </c>
      <c r="H166" s="1637">
        <f t="shared" si="48"/>
        <v>6740.92</v>
      </c>
      <c r="I166" s="1639">
        <f t="shared" si="38"/>
        <v>0.73270869565217389</v>
      </c>
      <c r="J166" s="1635">
        <f t="shared" si="48"/>
        <v>182.95</v>
      </c>
    </row>
    <row r="167" spans="1:10" x14ac:dyDescent="0.2">
      <c r="A167" s="9"/>
      <c r="B167" s="9"/>
      <c r="C167" s="10" t="s">
        <v>351</v>
      </c>
      <c r="D167" s="11" t="s">
        <v>352</v>
      </c>
      <c r="E167" s="1345">
        <v>3000</v>
      </c>
      <c r="F167" s="1343">
        <f>G167-E167</f>
        <v>500</v>
      </c>
      <c r="G167" s="1351" t="s">
        <v>543</v>
      </c>
      <c r="H167" s="1352">
        <v>3111.34</v>
      </c>
      <c r="I167" s="1348">
        <f t="shared" si="38"/>
        <v>0.88895428571428581</v>
      </c>
      <c r="J167" s="1344">
        <v>0</v>
      </c>
    </row>
    <row r="168" spans="1:10" x14ac:dyDescent="0.2">
      <c r="A168" s="9"/>
      <c r="B168" s="9"/>
      <c r="C168" s="10" t="s">
        <v>367</v>
      </c>
      <c r="D168" s="11" t="s">
        <v>368</v>
      </c>
      <c r="E168" s="1345">
        <v>1200</v>
      </c>
      <c r="F168" s="1343">
        <f t="shared" ref="F168:F170" si="49">G168-E168</f>
        <v>0</v>
      </c>
      <c r="G168" s="1351" t="s">
        <v>487</v>
      </c>
      <c r="H168" s="1352">
        <v>1118.75</v>
      </c>
      <c r="I168" s="1348">
        <f t="shared" si="38"/>
        <v>0.93229166666666663</v>
      </c>
      <c r="J168" s="1344">
        <v>182.95</v>
      </c>
    </row>
    <row r="169" spans="1:10" x14ac:dyDescent="0.2">
      <c r="A169" s="9"/>
      <c r="B169" s="9"/>
      <c r="C169" s="10" t="s">
        <v>354</v>
      </c>
      <c r="D169" s="11" t="s">
        <v>355</v>
      </c>
      <c r="E169" s="1345">
        <v>1500</v>
      </c>
      <c r="F169" s="1343">
        <f t="shared" si="49"/>
        <v>1500</v>
      </c>
      <c r="G169" s="1351" t="s">
        <v>528</v>
      </c>
      <c r="H169" s="1352">
        <v>1984</v>
      </c>
      <c r="I169" s="1348">
        <f t="shared" si="38"/>
        <v>0.66133333333333333</v>
      </c>
      <c r="J169" s="1344">
        <v>0</v>
      </c>
    </row>
    <row r="170" spans="1:10" x14ac:dyDescent="0.2">
      <c r="A170" s="9"/>
      <c r="B170" s="9"/>
      <c r="C170" s="10" t="s">
        <v>475</v>
      </c>
      <c r="D170" s="11" t="s">
        <v>476</v>
      </c>
      <c r="E170" s="1345">
        <v>3500</v>
      </c>
      <c r="F170" s="1343">
        <f t="shared" si="49"/>
        <v>-2000</v>
      </c>
      <c r="G170" s="1351" t="s">
        <v>79</v>
      </c>
      <c r="H170" s="1352">
        <v>526.83000000000004</v>
      </c>
      <c r="I170" s="1348">
        <f t="shared" si="38"/>
        <v>0.35122000000000003</v>
      </c>
      <c r="J170" s="1344">
        <v>0</v>
      </c>
    </row>
    <row r="171" spans="1:10" ht="15" x14ac:dyDescent="0.2">
      <c r="A171" s="8"/>
      <c r="B171" s="1632" t="s">
        <v>544</v>
      </c>
      <c r="C171" s="1633"/>
      <c r="D171" s="1634" t="s">
        <v>545</v>
      </c>
      <c r="E171" s="1635">
        <f>E172</f>
        <v>47000</v>
      </c>
      <c r="F171" s="1636">
        <f t="shared" ref="F171:J171" si="50">F172</f>
        <v>10000</v>
      </c>
      <c r="G171" s="1637" t="str">
        <f t="shared" si="50"/>
        <v>57 000,00</v>
      </c>
      <c r="H171" s="1637">
        <f t="shared" si="50"/>
        <v>56234.13</v>
      </c>
      <c r="I171" s="1639">
        <f t="shared" si="38"/>
        <v>0.98656368421052631</v>
      </c>
      <c r="J171" s="1635">
        <f t="shared" si="50"/>
        <v>0</v>
      </c>
    </row>
    <row r="172" spans="1:10" ht="56.25" x14ac:dyDescent="0.2">
      <c r="A172" s="9"/>
      <c r="B172" s="9"/>
      <c r="C172" s="10" t="s">
        <v>263</v>
      </c>
      <c r="D172" s="11" t="s">
        <v>547</v>
      </c>
      <c r="E172" s="1345">
        <v>47000</v>
      </c>
      <c r="F172" s="1343">
        <f>G172-E172</f>
        <v>10000</v>
      </c>
      <c r="G172" s="1351" t="s">
        <v>546</v>
      </c>
      <c r="H172" s="1352">
        <v>56234.13</v>
      </c>
      <c r="I172" s="1348">
        <f t="shared" si="38"/>
        <v>0.98656368421052631</v>
      </c>
      <c r="J172" s="1344">
        <v>0</v>
      </c>
    </row>
    <row r="173" spans="1:10" ht="15" x14ac:dyDescent="0.2">
      <c r="A173" s="8"/>
      <c r="B173" s="1632" t="s">
        <v>548</v>
      </c>
      <c r="C173" s="1633"/>
      <c r="D173" s="1634" t="s">
        <v>549</v>
      </c>
      <c r="E173" s="1635">
        <f>E174+E175+E176+E177</f>
        <v>37830</v>
      </c>
      <c r="F173" s="1636">
        <f t="shared" ref="F173:J173" si="51">F174+F175+F176+F177</f>
        <v>0</v>
      </c>
      <c r="G173" s="1637">
        <f t="shared" si="51"/>
        <v>37830</v>
      </c>
      <c r="H173" s="1637">
        <f t="shared" si="51"/>
        <v>28071.919999999998</v>
      </c>
      <c r="I173" s="1639">
        <f t="shared" si="38"/>
        <v>0.74205445413692828</v>
      </c>
      <c r="J173" s="1635">
        <f t="shared" si="51"/>
        <v>0</v>
      </c>
    </row>
    <row r="174" spans="1:10" x14ac:dyDescent="0.2">
      <c r="A174" s="9"/>
      <c r="B174" s="9"/>
      <c r="C174" s="10" t="s">
        <v>445</v>
      </c>
      <c r="D174" s="11" t="s">
        <v>446</v>
      </c>
      <c r="E174" s="1345">
        <v>12830</v>
      </c>
      <c r="F174" s="1343">
        <f>G174-E174</f>
        <v>0</v>
      </c>
      <c r="G174" s="1351" t="s">
        <v>550</v>
      </c>
      <c r="H174" s="1352">
        <v>9567.18</v>
      </c>
      <c r="I174" s="1348">
        <f t="shared" si="38"/>
        <v>0.74568823070927515</v>
      </c>
      <c r="J174" s="1344">
        <v>0</v>
      </c>
    </row>
    <row r="175" spans="1:10" x14ac:dyDescent="0.2">
      <c r="A175" s="9"/>
      <c r="B175" s="9"/>
      <c r="C175" s="10" t="s">
        <v>351</v>
      </c>
      <c r="D175" s="11" t="s">
        <v>352</v>
      </c>
      <c r="E175" s="1345">
        <v>15000</v>
      </c>
      <c r="F175" s="1343">
        <f t="shared" ref="F175:F177" si="52">G175-E175</f>
        <v>0</v>
      </c>
      <c r="G175" s="1351" t="s">
        <v>29</v>
      </c>
      <c r="H175" s="1352">
        <v>14226.74</v>
      </c>
      <c r="I175" s="1348">
        <f t="shared" si="38"/>
        <v>0.94844933333333337</v>
      </c>
      <c r="J175" s="1344">
        <v>0</v>
      </c>
    </row>
    <row r="176" spans="1:10" x14ac:dyDescent="0.2">
      <c r="A176" s="9"/>
      <c r="B176" s="9"/>
      <c r="C176" s="10" t="s">
        <v>354</v>
      </c>
      <c r="D176" s="11" t="s">
        <v>355</v>
      </c>
      <c r="E176" s="1345">
        <v>4000</v>
      </c>
      <c r="F176" s="1343">
        <f t="shared" si="52"/>
        <v>0</v>
      </c>
      <c r="G176" s="1351" t="s">
        <v>210</v>
      </c>
      <c r="H176" s="1352">
        <v>3197</v>
      </c>
      <c r="I176" s="1348">
        <f t="shared" si="38"/>
        <v>0.79925000000000002</v>
      </c>
      <c r="J176" s="1344">
        <v>0</v>
      </c>
    </row>
    <row r="177" spans="1:10" x14ac:dyDescent="0.2">
      <c r="A177" s="9"/>
      <c r="B177" s="9"/>
      <c r="C177" s="10" t="s">
        <v>357</v>
      </c>
      <c r="D177" s="11" t="s">
        <v>358</v>
      </c>
      <c r="E177" s="1345">
        <v>6000</v>
      </c>
      <c r="F177" s="1343">
        <f t="shared" si="52"/>
        <v>0</v>
      </c>
      <c r="G177" s="1351" t="s">
        <v>47</v>
      </c>
      <c r="H177" s="1352">
        <v>1081</v>
      </c>
      <c r="I177" s="1348">
        <f t="shared" si="38"/>
        <v>0.18016666666666667</v>
      </c>
      <c r="J177" s="1344">
        <v>0</v>
      </c>
    </row>
    <row r="178" spans="1:10" x14ac:dyDescent="0.2">
      <c r="A178" s="1640" t="s">
        <v>551</v>
      </c>
      <c r="B178" s="1640"/>
      <c r="C178" s="1640"/>
      <c r="D178" s="1641" t="s">
        <v>552</v>
      </c>
      <c r="E178" s="1642">
        <f>E179</f>
        <v>326000</v>
      </c>
      <c r="F178" s="1643">
        <f t="shared" ref="F178:J178" si="53">F179</f>
        <v>0</v>
      </c>
      <c r="G178" s="1644" t="str">
        <f t="shared" si="53"/>
        <v>326 000,00</v>
      </c>
      <c r="H178" s="1644">
        <f t="shared" si="53"/>
        <v>263972.7</v>
      </c>
      <c r="I178" s="1645">
        <f t="shared" si="38"/>
        <v>0.80973220858895711</v>
      </c>
      <c r="J178" s="1642">
        <f t="shared" si="53"/>
        <v>24926.080000000002</v>
      </c>
    </row>
    <row r="179" spans="1:10" ht="22.5" x14ac:dyDescent="0.2">
      <c r="A179" s="8"/>
      <c r="B179" s="1632" t="s">
        <v>554</v>
      </c>
      <c r="C179" s="1633"/>
      <c r="D179" s="1634" t="s">
        <v>555</v>
      </c>
      <c r="E179" s="1635">
        <f>E180</f>
        <v>326000</v>
      </c>
      <c r="F179" s="1636">
        <f t="shared" ref="F179:J179" si="54">F180</f>
        <v>0</v>
      </c>
      <c r="G179" s="1637" t="str">
        <f t="shared" si="54"/>
        <v>326 000,00</v>
      </c>
      <c r="H179" s="1637">
        <f t="shared" si="54"/>
        <v>263972.7</v>
      </c>
      <c r="I179" s="1639">
        <f t="shared" si="38"/>
        <v>0.80973220858895711</v>
      </c>
      <c r="J179" s="1635">
        <f t="shared" si="54"/>
        <v>24926.080000000002</v>
      </c>
    </row>
    <row r="180" spans="1:10" ht="45" x14ac:dyDescent="0.2">
      <c r="A180" s="9"/>
      <c r="B180" s="9"/>
      <c r="C180" s="10" t="s">
        <v>556</v>
      </c>
      <c r="D180" s="11" t="s">
        <v>557</v>
      </c>
      <c r="E180" s="1345">
        <v>326000</v>
      </c>
      <c r="F180" s="1343">
        <f>G180-E180</f>
        <v>0</v>
      </c>
      <c r="G180" s="1351" t="s">
        <v>553</v>
      </c>
      <c r="H180" s="1352">
        <v>263972.7</v>
      </c>
      <c r="I180" s="1348">
        <f t="shared" si="38"/>
        <v>0.80973220858895711</v>
      </c>
      <c r="J180" s="1344">
        <v>24926.080000000002</v>
      </c>
    </row>
    <row r="181" spans="1:10" x14ac:dyDescent="0.2">
      <c r="A181" s="1640" t="s">
        <v>161</v>
      </c>
      <c r="B181" s="1640"/>
      <c r="C181" s="1640"/>
      <c r="D181" s="1641" t="s">
        <v>162</v>
      </c>
      <c r="E181" s="1642">
        <f>E182+E184</f>
        <v>281000</v>
      </c>
      <c r="F181" s="1643">
        <f t="shared" ref="F181:J181" si="55">F182+F184</f>
        <v>-1174.4600000000064</v>
      </c>
      <c r="G181" s="1644">
        <f t="shared" si="55"/>
        <v>279825.53999999998</v>
      </c>
      <c r="H181" s="1644">
        <f t="shared" si="55"/>
        <v>71825.539999999994</v>
      </c>
      <c r="I181" s="1645">
        <f t="shared" si="38"/>
        <v>0.25667971551131463</v>
      </c>
      <c r="J181" s="1642">
        <f t="shared" si="55"/>
        <v>0</v>
      </c>
    </row>
    <row r="182" spans="1:10" ht="22.5" x14ac:dyDescent="0.2">
      <c r="A182" s="8"/>
      <c r="B182" s="1632" t="s">
        <v>163</v>
      </c>
      <c r="C182" s="1633"/>
      <c r="D182" s="1634" t="s">
        <v>164</v>
      </c>
      <c r="E182" s="1635">
        <f>E183</f>
        <v>0</v>
      </c>
      <c r="F182" s="1636">
        <f t="shared" ref="F182:J182" si="56">F183</f>
        <v>71825.539999999994</v>
      </c>
      <c r="G182" s="1637" t="str">
        <f t="shared" si="56"/>
        <v>71 825,54</v>
      </c>
      <c r="H182" s="1637">
        <f t="shared" si="56"/>
        <v>71825.539999999994</v>
      </c>
      <c r="I182" s="1639">
        <f t="shared" si="38"/>
        <v>1</v>
      </c>
      <c r="J182" s="1635">
        <f t="shared" si="56"/>
        <v>0</v>
      </c>
    </row>
    <row r="183" spans="1:10" ht="22.5" x14ac:dyDescent="0.2">
      <c r="A183" s="9"/>
      <c r="B183" s="9"/>
      <c r="C183" s="10" t="s">
        <v>559</v>
      </c>
      <c r="D183" s="11" t="s">
        <v>560</v>
      </c>
      <c r="E183" s="1345">
        <v>0</v>
      </c>
      <c r="F183" s="1343">
        <f>G183-E183</f>
        <v>71825.539999999994</v>
      </c>
      <c r="G183" s="1351" t="s">
        <v>558</v>
      </c>
      <c r="H183" s="1352">
        <v>71825.539999999994</v>
      </c>
      <c r="I183" s="1348">
        <f t="shared" si="38"/>
        <v>1</v>
      </c>
      <c r="J183" s="1344">
        <v>0</v>
      </c>
    </row>
    <row r="184" spans="1:10" ht="15" x14ac:dyDescent="0.2">
      <c r="A184" s="8"/>
      <c r="B184" s="1632" t="s">
        <v>561</v>
      </c>
      <c r="C184" s="1633"/>
      <c r="D184" s="1634" t="s">
        <v>562</v>
      </c>
      <c r="E184" s="1635">
        <f>E185</f>
        <v>281000</v>
      </c>
      <c r="F184" s="1636">
        <f t="shared" ref="F184:J184" si="57">F185</f>
        <v>-73000</v>
      </c>
      <c r="G184" s="1637" t="str">
        <f t="shared" si="57"/>
        <v>208 000,00</v>
      </c>
      <c r="H184" s="1637">
        <f t="shared" si="57"/>
        <v>0</v>
      </c>
      <c r="I184" s="1639">
        <f t="shared" si="38"/>
        <v>0</v>
      </c>
      <c r="J184" s="1635">
        <f t="shared" si="57"/>
        <v>0</v>
      </c>
    </row>
    <row r="185" spans="1:10" x14ac:dyDescent="0.2">
      <c r="A185" s="9"/>
      <c r="B185" s="9"/>
      <c r="C185" s="10" t="s">
        <v>564</v>
      </c>
      <c r="D185" s="11" t="s">
        <v>565</v>
      </c>
      <c r="E185" s="1345">
        <v>281000</v>
      </c>
      <c r="F185" s="1343">
        <f>G185-E185</f>
        <v>-73000</v>
      </c>
      <c r="G185" s="1351" t="s">
        <v>563</v>
      </c>
      <c r="H185" s="1352">
        <v>0</v>
      </c>
      <c r="I185" s="1348">
        <f t="shared" si="38"/>
        <v>0</v>
      </c>
      <c r="J185" s="1344">
        <v>0</v>
      </c>
    </row>
    <row r="186" spans="1:10" x14ac:dyDescent="0.2">
      <c r="A186" s="1640" t="s">
        <v>184</v>
      </c>
      <c r="B186" s="1640"/>
      <c r="C186" s="1640"/>
      <c r="D186" s="1641" t="s">
        <v>185</v>
      </c>
      <c r="E186" s="1642">
        <f>E187+E209+E225+E250+E270+E274+E277+E289+E303+E318</f>
        <v>23463700.52</v>
      </c>
      <c r="F186" s="1643">
        <f t="shared" ref="F186:J186" si="58">F187+F209+F225+F250+F270+F274+F277+F289+F303+F318</f>
        <v>2491463.0500000003</v>
      </c>
      <c r="G186" s="1644">
        <f t="shared" si="58"/>
        <v>25955163.57</v>
      </c>
      <c r="H186" s="1644">
        <f t="shared" si="58"/>
        <v>24858153.370000005</v>
      </c>
      <c r="I186" s="1645">
        <f t="shared" si="38"/>
        <v>0.95773441392340275</v>
      </c>
      <c r="J186" s="1642">
        <f t="shared" si="58"/>
        <v>1760215.8</v>
      </c>
    </row>
    <row r="187" spans="1:10" ht="15" x14ac:dyDescent="0.2">
      <c r="A187" s="8"/>
      <c r="B187" s="1632" t="s">
        <v>186</v>
      </c>
      <c r="C187" s="1633"/>
      <c r="D187" s="1634" t="s">
        <v>187</v>
      </c>
      <c r="E187" s="1635">
        <f>E188+E189+E190+E191+E192+E193+E194+E195+E196+E197+E198+E199+E200+E201+E202+E203+E204+E205+E206+E207+E208</f>
        <v>10507598</v>
      </c>
      <c r="F187" s="1636">
        <f t="shared" ref="F187:J187" si="59">F188+F189+F190+F191+F192+F193+F194+F195+F196+F197+F198+F199+F200+F201+F202+F203+F204+F205+F206+F207+F208</f>
        <v>1240733.2200000002</v>
      </c>
      <c r="G187" s="1637">
        <f t="shared" si="59"/>
        <v>11748331.220000001</v>
      </c>
      <c r="H187" s="1637">
        <f t="shared" si="59"/>
        <v>11667322.530000001</v>
      </c>
      <c r="I187" s="1639">
        <f t="shared" si="38"/>
        <v>0.99310466410224352</v>
      </c>
      <c r="J187" s="1635">
        <f t="shared" si="59"/>
        <v>980329.92999999993</v>
      </c>
    </row>
    <row r="188" spans="1:10" ht="45" x14ac:dyDescent="0.2">
      <c r="A188" s="9"/>
      <c r="B188" s="9"/>
      <c r="C188" s="10" t="s">
        <v>205</v>
      </c>
      <c r="D188" s="11" t="s">
        <v>373</v>
      </c>
      <c r="E188" s="1345">
        <v>2800</v>
      </c>
      <c r="F188" s="1343">
        <f>G188-E188</f>
        <v>-2800</v>
      </c>
      <c r="G188" s="1351" t="s">
        <v>7</v>
      </c>
      <c r="H188" s="1352">
        <v>0</v>
      </c>
      <c r="I188" s="1348">
        <v>0</v>
      </c>
      <c r="J188" s="1344">
        <v>0</v>
      </c>
    </row>
    <row r="189" spans="1:10" x14ac:dyDescent="0.2">
      <c r="A189" s="9"/>
      <c r="B189" s="9"/>
      <c r="C189" s="10" t="s">
        <v>445</v>
      </c>
      <c r="D189" s="11" t="s">
        <v>446</v>
      </c>
      <c r="E189" s="1345">
        <v>378911</v>
      </c>
      <c r="F189" s="1343">
        <f t="shared" ref="F189:F208" si="60">G189-E189</f>
        <v>-2089</v>
      </c>
      <c r="G189" s="1351" t="s">
        <v>566</v>
      </c>
      <c r="H189" s="1352">
        <v>375813.57</v>
      </c>
      <c r="I189" s="1348">
        <f t="shared" si="38"/>
        <v>0.99732385582582761</v>
      </c>
      <c r="J189" s="1344">
        <v>7663.44</v>
      </c>
    </row>
    <row r="190" spans="1:10" x14ac:dyDescent="0.2">
      <c r="A190" s="9"/>
      <c r="B190" s="9"/>
      <c r="C190" s="10" t="s">
        <v>342</v>
      </c>
      <c r="D190" s="11" t="s">
        <v>343</v>
      </c>
      <c r="E190" s="1345">
        <v>6583993</v>
      </c>
      <c r="F190" s="1343">
        <f t="shared" si="60"/>
        <v>483380</v>
      </c>
      <c r="G190" s="1351" t="s">
        <v>567</v>
      </c>
      <c r="H190" s="1352">
        <v>7064151.9900000002</v>
      </c>
      <c r="I190" s="1348">
        <f t="shared" si="38"/>
        <v>0.99954424225239002</v>
      </c>
      <c r="J190" s="1344">
        <v>154205.53</v>
      </c>
    </row>
    <row r="191" spans="1:10" x14ac:dyDescent="0.2">
      <c r="A191" s="9"/>
      <c r="B191" s="9"/>
      <c r="C191" s="10" t="s">
        <v>453</v>
      </c>
      <c r="D191" s="11" t="s">
        <v>454</v>
      </c>
      <c r="E191" s="1345">
        <v>530638</v>
      </c>
      <c r="F191" s="1343">
        <f t="shared" si="60"/>
        <v>-10968</v>
      </c>
      <c r="G191" s="1351" t="s">
        <v>568</v>
      </c>
      <c r="H191" s="1352">
        <v>519668.74</v>
      </c>
      <c r="I191" s="1348">
        <f t="shared" si="38"/>
        <v>0.9999975753843785</v>
      </c>
      <c r="J191" s="1344">
        <v>551450.75</v>
      </c>
    </row>
    <row r="192" spans="1:10" x14ac:dyDescent="0.2">
      <c r="A192" s="9"/>
      <c r="B192" s="9"/>
      <c r="C192" s="10" t="s">
        <v>345</v>
      </c>
      <c r="D192" s="11" t="s">
        <v>346</v>
      </c>
      <c r="E192" s="1345">
        <v>1262653</v>
      </c>
      <c r="F192" s="1343">
        <f t="shared" si="60"/>
        <v>-27111</v>
      </c>
      <c r="G192" s="1351" t="s">
        <v>569</v>
      </c>
      <c r="H192" s="1352">
        <v>1235542</v>
      </c>
      <c r="I192" s="1348">
        <f t="shared" si="38"/>
        <v>1</v>
      </c>
      <c r="J192" s="1344">
        <v>195993.3</v>
      </c>
    </row>
    <row r="193" spans="1:10" x14ac:dyDescent="0.2">
      <c r="A193" s="9"/>
      <c r="B193" s="9"/>
      <c r="C193" s="10" t="s">
        <v>348</v>
      </c>
      <c r="D193" s="11" t="s">
        <v>349</v>
      </c>
      <c r="E193" s="1345">
        <v>179629</v>
      </c>
      <c r="F193" s="1343">
        <f t="shared" si="60"/>
        <v>-22112</v>
      </c>
      <c r="G193" s="1351" t="s">
        <v>570</v>
      </c>
      <c r="H193" s="1352">
        <v>152354.22</v>
      </c>
      <c r="I193" s="1348">
        <f t="shared" si="38"/>
        <v>0.9672239821733527</v>
      </c>
      <c r="J193" s="1344">
        <v>22881.19</v>
      </c>
    </row>
    <row r="194" spans="1:10" x14ac:dyDescent="0.2">
      <c r="A194" s="9"/>
      <c r="B194" s="9"/>
      <c r="C194" s="10" t="s">
        <v>363</v>
      </c>
      <c r="D194" s="11" t="s">
        <v>364</v>
      </c>
      <c r="E194" s="1345">
        <v>38858</v>
      </c>
      <c r="F194" s="1343">
        <f t="shared" si="60"/>
        <v>656</v>
      </c>
      <c r="G194" s="1351" t="s">
        <v>571</v>
      </c>
      <c r="H194" s="1352">
        <v>34728.910000000003</v>
      </c>
      <c r="I194" s="1348">
        <f t="shared" si="38"/>
        <v>0.878901402034722</v>
      </c>
      <c r="J194" s="1344">
        <v>0</v>
      </c>
    </row>
    <row r="195" spans="1:10" x14ac:dyDescent="0.2">
      <c r="A195" s="9"/>
      <c r="B195" s="9"/>
      <c r="C195" s="10" t="s">
        <v>351</v>
      </c>
      <c r="D195" s="11" t="s">
        <v>352</v>
      </c>
      <c r="E195" s="1345">
        <v>298700</v>
      </c>
      <c r="F195" s="1343">
        <f t="shared" si="60"/>
        <v>140263.54999999999</v>
      </c>
      <c r="G195" s="1351" t="s">
        <v>572</v>
      </c>
      <c r="H195" s="1691">
        <v>426911.16</v>
      </c>
      <c r="I195" s="1348">
        <f t="shared" si="38"/>
        <v>0.97254352895587792</v>
      </c>
      <c r="J195" s="1344">
        <v>0</v>
      </c>
    </row>
    <row r="196" spans="1:10" x14ac:dyDescent="0.2">
      <c r="A196" s="9"/>
      <c r="B196" s="9"/>
      <c r="C196" s="10" t="s">
        <v>573</v>
      </c>
      <c r="D196" s="11" t="s">
        <v>574</v>
      </c>
      <c r="E196" s="1345">
        <v>22500</v>
      </c>
      <c r="F196" s="1343">
        <f t="shared" si="60"/>
        <v>235659.67</v>
      </c>
      <c r="G196" s="1351" t="s">
        <v>575</v>
      </c>
      <c r="H196" s="1352">
        <v>251584</v>
      </c>
      <c r="I196" s="1348">
        <f t="shared" si="38"/>
        <v>0.97452867057042636</v>
      </c>
      <c r="J196" s="1344">
        <v>0</v>
      </c>
    </row>
    <row r="197" spans="1:10" x14ac:dyDescent="0.2">
      <c r="A197" s="9"/>
      <c r="B197" s="9"/>
      <c r="C197" s="10" t="s">
        <v>367</v>
      </c>
      <c r="D197" s="11" t="s">
        <v>368</v>
      </c>
      <c r="E197" s="1345">
        <v>399000</v>
      </c>
      <c r="F197" s="1343">
        <f t="shared" si="60"/>
        <v>-52865</v>
      </c>
      <c r="G197" s="1351" t="s">
        <v>576</v>
      </c>
      <c r="H197" s="1352">
        <v>319100.31</v>
      </c>
      <c r="I197" s="1348">
        <f t="shared" si="38"/>
        <v>0.92189553209008046</v>
      </c>
      <c r="J197" s="1344">
        <v>43948.46</v>
      </c>
    </row>
    <row r="198" spans="1:10" x14ac:dyDescent="0.2">
      <c r="A198" s="9"/>
      <c r="B198" s="9"/>
      <c r="C198" s="10" t="s">
        <v>381</v>
      </c>
      <c r="D198" s="11" t="s">
        <v>382</v>
      </c>
      <c r="E198" s="1345">
        <v>14300</v>
      </c>
      <c r="F198" s="1343">
        <f t="shared" si="60"/>
        <v>396945</v>
      </c>
      <c r="G198" s="1351" t="s">
        <v>577</v>
      </c>
      <c r="H198" s="1352">
        <v>407651.07</v>
      </c>
      <c r="I198" s="1348">
        <f t="shared" si="38"/>
        <v>0.99126085423530985</v>
      </c>
      <c r="J198" s="1344">
        <v>0</v>
      </c>
    </row>
    <row r="199" spans="1:10" x14ac:dyDescent="0.2">
      <c r="A199" s="9"/>
      <c r="B199" s="9"/>
      <c r="C199" s="10" t="s">
        <v>472</v>
      </c>
      <c r="D199" s="11" t="s">
        <v>473</v>
      </c>
      <c r="E199" s="1345">
        <v>21800</v>
      </c>
      <c r="F199" s="1343">
        <f t="shared" si="60"/>
        <v>1691</v>
      </c>
      <c r="G199" s="1351" t="s">
        <v>578</v>
      </c>
      <c r="H199" s="1352">
        <v>22080</v>
      </c>
      <c r="I199" s="1348">
        <f t="shared" ref="I199:I262" si="61">H199/G199</f>
        <v>0.93993444297816187</v>
      </c>
      <c r="J199" s="1344">
        <v>0</v>
      </c>
    </row>
    <row r="200" spans="1:10" x14ac:dyDescent="0.2">
      <c r="A200" s="9"/>
      <c r="B200" s="9"/>
      <c r="C200" s="10" t="s">
        <v>354</v>
      </c>
      <c r="D200" s="11" t="s">
        <v>355</v>
      </c>
      <c r="E200" s="1345">
        <v>174700</v>
      </c>
      <c r="F200" s="1343">
        <f t="shared" si="60"/>
        <v>37234</v>
      </c>
      <c r="G200" s="1351" t="s">
        <v>579</v>
      </c>
      <c r="H200" s="1352">
        <v>203152.76</v>
      </c>
      <c r="I200" s="1348">
        <f t="shared" si="61"/>
        <v>0.95856615738862105</v>
      </c>
      <c r="J200" s="1344">
        <v>4187.26</v>
      </c>
    </row>
    <row r="201" spans="1:10" x14ac:dyDescent="0.2">
      <c r="A201" s="9"/>
      <c r="B201" s="9"/>
      <c r="C201" s="10" t="s">
        <v>475</v>
      </c>
      <c r="D201" s="11" t="s">
        <v>476</v>
      </c>
      <c r="E201" s="1345">
        <v>36105</v>
      </c>
      <c r="F201" s="1343">
        <f t="shared" si="60"/>
        <v>-1200</v>
      </c>
      <c r="G201" s="1351" t="s">
        <v>580</v>
      </c>
      <c r="H201" s="1352">
        <v>34517.870000000003</v>
      </c>
      <c r="I201" s="1348">
        <f t="shared" si="61"/>
        <v>0.98890903881965342</v>
      </c>
      <c r="J201" s="1344">
        <v>0</v>
      </c>
    </row>
    <row r="202" spans="1:10" x14ac:dyDescent="0.2">
      <c r="A202" s="9"/>
      <c r="B202" s="9"/>
      <c r="C202" s="10" t="s">
        <v>484</v>
      </c>
      <c r="D202" s="11" t="s">
        <v>485</v>
      </c>
      <c r="E202" s="1345">
        <v>10100</v>
      </c>
      <c r="F202" s="1343">
        <f t="shared" si="60"/>
        <v>1060</v>
      </c>
      <c r="G202" s="1351" t="s">
        <v>581</v>
      </c>
      <c r="H202" s="1352">
        <v>7015.61</v>
      </c>
      <c r="I202" s="1348">
        <f t="shared" si="61"/>
        <v>0.62863888888888886</v>
      </c>
      <c r="J202" s="1344">
        <v>0</v>
      </c>
    </row>
    <row r="203" spans="1:10" x14ac:dyDescent="0.2">
      <c r="A203" s="9"/>
      <c r="B203" s="9"/>
      <c r="C203" s="10" t="s">
        <v>357</v>
      </c>
      <c r="D203" s="11" t="s">
        <v>358</v>
      </c>
      <c r="E203" s="1345">
        <v>5310</v>
      </c>
      <c r="F203" s="1343">
        <f t="shared" si="60"/>
        <v>224</v>
      </c>
      <c r="G203" s="1351" t="s">
        <v>582</v>
      </c>
      <c r="H203" s="1352">
        <v>4786</v>
      </c>
      <c r="I203" s="1348">
        <f t="shared" si="61"/>
        <v>0.86483556198048428</v>
      </c>
      <c r="J203" s="1344">
        <v>0</v>
      </c>
    </row>
    <row r="204" spans="1:10" ht="22.5" x14ac:dyDescent="0.2">
      <c r="A204" s="9"/>
      <c r="B204" s="9"/>
      <c r="C204" s="10" t="s">
        <v>489</v>
      </c>
      <c r="D204" s="11" t="s">
        <v>490</v>
      </c>
      <c r="E204" s="1345">
        <v>368809</v>
      </c>
      <c r="F204" s="1343">
        <f t="shared" si="60"/>
        <v>-8000</v>
      </c>
      <c r="G204" s="1351" t="s">
        <v>583</v>
      </c>
      <c r="H204" s="1352">
        <v>360809</v>
      </c>
      <c r="I204" s="1348">
        <f t="shared" si="61"/>
        <v>1</v>
      </c>
      <c r="J204" s="1344">
        <v>0</v>
      </c>
    </row>
    <row r="205" spans="1:10" x14ac:dyDescent="0.2">
      <c r="A205" s="9"/>
      <c r="B205" s="9"/>
      <c r="C205" s="10" t="s">
        <v>584</v>
      </c>
      <c r="D205" s="11" t="s">
        <v>585</v>
      </c>
      <c r="E205" s="1345">
        <v>1030</v>
      </c>
      <c r="F205" s="1343">
        <f t="shared" si="60"/>
        <v>-235</v>
      </c>
      <c r="G205" s="1351" t="s">
        <v>586</v>
      </c>
      <c r="H205" s="1352">
        <v>795</v>
      </c>
      <c r="I205" s="1348">
        <f t="shared" si="61"/>
        <v>1</v>
      </c>
      <c r="J205" s="1344">
        <v>0</v>
      </c>
    </row>
    <row r="206" spans="1:10" ht="22.5" x14ac:dyDescent="0.2">
      <c r="A206" s="9"/>
      <c r="B206" s="9"/>
      <c r="C206" s="10" t="s">
        <v>433</v>
      </c>
      <c r="D206" s="11" t="s">
        <v>434</v>
      </c>
      <c r="E206" s="1345">
        <v>2000</v>
      </c>
      <c r="F206" s="1343">
        <f t="shared" si="60"/>
        <v>-1000</v>
      </c>
      <c r="G206" s="1351" t="s">
        <v>95</v>
      </c>
      <c r="H206" s="1352">
        <v>425</v>
      </c>
      <c r="I206" s="1348">
        <f t="shared" si="61"/>
        <v>0.42499999999999999</v>
      </c>
      <c r="J206" s="1344">
        <v>0</v>
      </c>
    </row>
    <row r="207" spans="1:10" x14ac:dyDescent="0.2">
      <c r="A207" s="9"/>
      <c r="B207" s="9"/>
      <c r="C207" s="10" t="s">
        <v>360</v>
      </c>
      <c r="D207" s="11" t="s">
        <v>361</v>
      </c>
      <c r="E207" s="1345">
        <v>175762</v>
      </c>
      <c r="F207" s="1343">
        <f t="shared" si="60"/>
        <v>67000</v>
      </c>
      <c r="G207" s="1351" t="s">
        <v>587</v>
      </c>
      <c r="H207" s="1352">
        <v>241561.32</v>
      </c>
      <c r="I207" s="1348">
        <f t="shared" si="61"/>
        <v>0.99505408589482702</v>
      </c>
      <c r="J207" s="1344">
        <v>0</v>
      </c>
    </row>
    <row r="208" spans="1:10" ht="22.5" x14ac:dyDescent="0.2">
      <c r="A208" s="9"/>
      <c r="B208" s="9"/>
      <c r="C208" s="10" t="s">
        <v>395</v>
      </c>
      <c r="D208" s="11" t="s">
        <v>396</v>
      </c>
      <c r="E208" s="1345">
        <v>0</v>
      </c>
      <c r="F208" s="1343">
        <f t="shared" si="60"/>
        <v>5000</v>
      </c>
      <c r="G208" s="1351" t="s">
        <v>588</v>
      </c>
      <c r="H208" s="1352">
        <v>4674</v>
      </c>
      <c r="I208" s="1348">
        <f t="shared" si="61"/>
        <v>0.93479999999999996</v>
      </c>
      <c r="J208" s="1344">
        <v>0</v>
      </c>
    </row>
    <row r="209" spans="1:10" ht="22.5" x14ac:dyDescent="0.2">
      <c r="A209" s="8"/>
      <c r="B209" s="1632" t="s">
        <v>191</v>
      </c>
      <c r="C209" s="1633"/>
      <c r="D209" s="1634" t="s">
        <v>192</v>
      </c>
      <c r="E209" s="1635">
        <f>E210+E211+E212+E213+E214+E215+E216+E217+E218+E219+E220+E221+E222+E223+E224</f>
        <v>748826</v>
      </c>
      <c r="F209" s="1636">
        <f t="shared" ref="F209:J209" si="62">F210+F211+F212+F213+F214+F215+F216+F217+F218+F219+F220+F221+F222+F223+F224</f>
        <v>7976</v>
      </c>
      <c r="G209" s="1637">
        <f t="shared" si="62"/>
        <v>756802</v>
      </c>
      <c r="H209" s="1637">
        <f t="shared" si="62"/>
        <v>747250.32000000018</v>
      </c>
      <c r="I209" s="1639">
        <f t="shared" si="61"/>
        <v>0.98737889170483184</v>
      </c>
      <c r="J209" s="1635">
        <f t="shared" si="62"/>
        <v>63882.240000000005</v>
      </c>
    </row>
    <row r="210" spans="1:10" ht="45" x14ac:dyDescent="0.2">
      <c r="A210" s="9"/>
      <c r="B210" s="9"/>
      <c r="C210" s="10" t="s">
        <v>205</v>
      </c>
      <c r="D210" s="11" t="s">
        <v>373</v>
      </c>
      <c r="E210" s="1345">
        <v>5200</v>
      </c>
      <c r="F210" s="1343">
        <f>G210-E210</f>
        <v>-5200</v>
      </c>
      <c r="G210" s="1351" t="s">
        <v>7</v>
      </c>
      <c r="H210" s="1352">
        <v>0</v>
      </c>
      <c r="I210" s="1348">
        <v>0</v>
      </c>
      <c r="J210" s="1344">
        <v>0</v>
      </c>
    </row>
    <row r="211" spans="1:10" x14ac:dyDescent="0.2">
      <c r="A211" s="9"/>
      <c r="B211" s="9"/>
      <c r="C211" s="10" t="s">
        <v>445</v>
      </c>
      <c r="D211" s="11" t="s">
        <v>446</v>
      </c>
      <c r="E211" s="1345">
        <v>20319</v>
      </c>
      <c r="F211" s="1343">
        <f t="shared" ref="F211:F224" si="63">G211-E211</f>
        <v>-3000</v>
      </c>
      <c r="G211" s="1351" t="s">
        <v>589</v>
      </c>
      <c r="H211" s="1352">
        <v>17021</v>
      </c>
      <c r="I211" s="1348">
        <f t="shared" si="61"/>
        <v>0.98279346382585597</v>
      </c>
      <c r="J211" s="1344">
        <v>1893.55</v>
      </c>
    </row>
    <row r="212" spans="1:10" x14ac:dyDescent="0.2">
      <c r="A212" s="9"/>
      <c r="B212" s="9"/>
      <c r="C212" s="10" t="s">
        <v>342</v>
      </c>
      <c r="D212" s="11" t="s">
        <v>343</v>
      </c>
      <c r="E212" s="1345">
        <v>490037</v>
      </c>
      <c r="F212" s="1343">
        <f t="shared" si="63"/>
        <v>17465</v>
      </c>
      <c r="G212" s="1351" t="s">
        <v>590</v>
      </c>
      <c r="H212" s="1352">
        <v>505495.2</v>
      </c>
      <c r="I212" s="1348">
        <f t="shared" si="61"/>
        <v>0.99604572986904483</v>
      </c>
      <c r="J212" s="1344">
        <v>12194.91</v>
      </c>
    </row>
    <row r="213" spans="1:10" x14ac:dyDescent="0.2">
      <c r="A213" s="9"/>
      <c r="B213" s="9"/>
      <c r="C213" s="10" t="s">
        <v>453</v>
      </c>
      <c r="D213" s="11" t="s">
        <v>454</v>
      </c>
      <c r="E213" s="1345">
        <v>41341</v>
      </c>
      <c r="F213" s="1343">
        <f t="shared" si="63"/>
        <v>-5439</v>
      </c>
      <c r="G213" s="1351" t="s">
        <v>591</v>
      </c>
      <c r="H213" s="1352">
        <v>35900.82</v>
      </c>
      <c r="I213" s="1348">
        <f t="shared" si="61"/>
        <v>0.99996713275026461</v>
      </c>
      <c r="J213" s="1344">
        <v>34452.480000000003</v>
      </c>
    </row>
    <row r="214" spans="1:10" x14ac:dyDescent="0.2">
      <c r="A214" s="9"/>
      <c r="B214" s="9"/>
      <c r="C214" s="10" t="s">
        <v>345</v>
      </c>
      <c r="D214" s="11" t="s">
        <v>346</v>
      </c>
      <c r="E214" s="1345">
        <v>95670</v>
      </c>
      <c r="F214" s="1343">
        <f t="shared" si="63"/>
        <v>-3024</v>
      </c>
      <c r="G214" s="1351" t="s">
        <v>592</v>
      </c>
      <c r="H214" s="1352">
        <v>92423.16</v>
      </c>
      <c r="I214" s="1348">
        <f t="shared" si="61"/>
        <v>0.99759471536817568</v>
      </c>
      <c r="J214" s="1344">
        <v>13974.52</v>
      </c>
    </row>
    <row r="215" spans="1:10" x14ac:dyDescent="0.2">
      <c r="A215" s="9"/>
      <c r="B215" s="9"/>
      <c r="C215" s="10" t="s">
        <v>348</v>
      </c>
      <c r="D215" s="11" t="s">
        <v>349</v>
      </c>
      <c r="E215" s="1345">
        <v>13599</v>
      </c>
      <c r="F215" s="1343">
        <f t="shared" si="63"/>
        <v>-2526</v>
      </c>
      <c r="G215" s="1351" t="s">
        <v>593</v>
      </c>
      <c r="H215" s="1352">
        <v>10995.78</v>
      </c>
      <c r="I215" s="1348">
        <f t="shared" si="61"/>
        <v>0.99302628014088334</v>
      </c>
      <c r="J215" s="1344">
        <v>1366.78</v>
      </c>
    </row>
    <row r="216" spans="1:10" x14ac:dyDescent="0.2">
      <c r="A216" s="9"/>
      <c r="B216" s="9"/>
      <c r="C216" s="10" t="s">
        <v>363</v>
      </c>
      <c r="D216" s="11" t="s">
        <v>364</v>
      </c>
      <c r="E216" s="1345">
        <v>0</v>
      </c>
      <c r="F216" s="1343">
        <f t="shared" si="63"/>
        <v>3000</v>
      </c>
      <c r="G216" s="1351" t="s">
        <v>528</v>
      </c>
      <c r="H216" s="1352">
        <v>3000</v>
      </c>
      <c r="I216" s="1348">
        <f t="shared" si="61"/>
        <v>1</v>
      </c>
      <c r="J216" s="1344">
        <v>0</v>
      </c>
    </row>
    <row r="217" spans="1:10" x14ac:dyDescent="0.2">
      <c r="A217" s="9"/>
      <c r="B217" s="9"/>
      <c r="C217" s="10" t="s">
        <v>351</v>
      </c>
      <c r="D217" s="11" t="s">
        <v>352</v>
      </c>
      <c r="E217" s="1345">
        <v>18600</v>
      </c>
      <c r="F217" s="1343">
        <f t="shared" si="63"/>
        <v>6700</v>
      </c>
      <c r="G217" s="1351" t="s">
        <v>594</v>
      </c>
      <c r="H217" s="1352">
        <v>23699.56</v>
      </c>
      <c r="I217" s="1348">
        <f t="shared" si="61"/>
        <v>0.93674150197628459</v>
      </c>
      <c r="J217" s="1344">
        <v>0</v>
      </c>
    </row>
    <row r="218" spans="1:10" x14ac:dyDescent="0.2">
      <c r="A218" s="9"/>
      <c r="B218" s="9"/>
      <c r="C218" s="10" t="s">
        <v>573</v>
      </c>
      <c r="D218" s="11" t="s">
        <v>574</v>
      </c>
      <c r="E218" s="1345">
        <v>3400</v>
      </c>
      <c r="F218" s="1343">
        <f t="shared" si="63"/>
        <v>0</v>
      </c>
      <c r="G218" s="1351" t="s">
        <v>85</v>
      </c>
      <c r="H218" s="1352">
        <v>2438.2199999999998</v>
      </c>
      <c r="I218" s="1348">
        <f t="shared" si="61"/>
        <v>0.7171235294117646</v>
      </c>
      <c r="J218" s="1344">
        <v>0</v>
      </c>
    </row>
    <row r="219" spans="1:10" x14ac:dyDescent="0.2">
      <c r="A219" s="9"/>
      <c r="B219" s="9"/>
      <c r="C219" s="10" t="s">
        <v>367</v>
      </c>
      <c r="D219" s="11" t="s">
        <v>368</v>
      </c>
      <c r="E219" s="1345">
        <v>21000</v>
      </c>
      <c r="F219" s="1343">
        <f t="shared" si="63"/>
        <v>-1000</v>
      </c>
      <c r="G219" s="1351" t="s">
        <v>102</v>
      </c>
      <c r="H219" s="1352">
        <v>16785.91</v>
      </c>
      <c r="I219" s="1348">
        <f t="shared" si="61"/>
        <v>0.83929549999999997</v>
      </c>
      <c r="J219" s="1344">
        <v>0</v>
      </c>
    </row>
    <row r="220" spans="1:10" x14ac:dyDescent="0.2">
      <c r="A220" s="9"/>
      <c r="B220" s="9"/>
      <c r="C220" s="10" t="s">
        <v>381</v>
      </c>
      <c r="D220" s="11" t="s">
        <v>382</v>
      </c>
      <c r="E220" s="1345">
        <v>800</v>
      </c>
      <c r="F220" s="1343">
        <f t="shared" si="63"/>
        <v>0</v>
      </c>
      <c r="G220" s="1351" t="s">
        <v>56</v>
      </c>
      <c r="H220" s="1352">
        <v>800</v>
      </c>
      <c r="I220" s="1348">
        <f t="shared" si="61"/>
        <v>1</v>
      </c>
      <c r="J220" s="1344">
        <v>0</v>
      </c>
    </row>
    <row r="221" spans="1:10" x14ac:dyDescent="0.2">
      <c r="A221" s="9"/>
      <c r="B221" s="9"/>
      <c r="C221" s="10" t="s">
        <v>472</v>
      </c>
      <c r="D221" s="11" t="s">
        <v>473</v>
      </c>
      <c r="E221" s="1345">
        <v>550</v>
      </c>
      <c r="F221" s="1343">
        <f t="shared" si="63"/>
        <v>-100</v>
      </c>
      <c r="G221" s="1351" t="s">
        <v>595</v>
      </c>
      <c r="H221" s="1352">
        <v>130</v>
      </c>
      <c r="I221" s="1348">
        <f t="shared" si="61"/>
        <v>0.28888888888888886</v>
      </c>
      <c r="J221" s="1344">
        <v>0</v>
      </c>
    </row>
    <row r="222" spans="1:10" x14ac:dyDescent="0.2">
      <c r="A222" s="9"/>
      <c r="B222" s="9"/>
      <c r="C222" s="10" t="s">
        <v>354</v>
      </c>
      <c r="D222" s="11" t="s">
        <v>355</v>
      </c>
      <c r="E222" s="1345">
        <v>7500</v>
      </c>
      <c r="F222" s="1343">
        <f t="shared" si="63"/>
        <v>0</v>
      </c>
      <c r="G222" s="1351" t="s">
        <v>596</v>
      </c>
      <c r="H222" s="1352">
        <v>7067.5</v>
      </c>
      <c r="I222" s="1348">
        <f t="shared" si="61"/>
        <v>0.94233333333333336</v>
      </c>
      <c r="J222" s="1344">
        <v>0</v>
      </c>
    </row>
    <row r="223" spans="1:10" x14ac:dyDescent="0.2">
      <c r="A223" s="9"/>
      <c r="B223" s="9"/>
      <c r="C223" s="10" t="s">
        <v>475</v>
      </c>
      <c r="D223" s="11" t="s">
        <v>476</v>
      </c>
      <c r="E223" s="1345">
        <v>1000</v>
      </c>
      <c r="F223" s="1343">
        <f t="shared" si="63"/>
        <v>1100</v>
      </c>
      <c r="G223" s="1351" t="s">
        <v>76</v>
      </c>
      <c r="H223" s="1352">
        <v>1683.17</v>
      </c>
      <c r="I223" s="1348">
        <f t="shared" si="61"/>
        <v>0.80150952380952389</v>
      </c>
      <c r="J223" s="1344">
        <v>0</v>
      </c>
    </row>
    <row r="224" spans="1:10" ht="22.5" x14ac:dyDescent="0.2">
      <c r="A224" s="9"/>
      <c r="B224" s="9"/>
      <c r="C224" s="10" t="s">
        <v>489</v>
      </c>
      <c r="D224" s="11" t="s">
        <v>490</v>
      </c>
      <c r="E224" s="1345">
        <v>29810</v>
      </c>
      <c r="F224" s="1343">
        <f t="shared" si="63"/>
        <v>0</v>
      </c>
      <c r="G224" s="1351" t="s">
        <v>597</v>
      </c>
      <c r="H224" s="1352">
        <v>29810</v>
      </c>
      <c r="I224" s="1348">
        <f t="shared" si="61"/>
        <v>1</v>
      </c>
      <c r="J224" s="1344">
        <v>0</v>
      </c>
    </row>
    <row r="225" spans="1:10" ht="15" x14ac:dyDescent="0.2">
      <c r="A225" s="8"/>
      <c r="B225" s="1632" t="s">
        <v>194</v>
      </c>
      <c r="C225" s="1633"/>
      <c r="D225" s="1634" t="s">
        <v>195</v>
      </c>
      <c r="E225" s="1635">
        <f>E226+E227+E228+E229+E230+E231+E232+E233+E234+E235+E236+E237+E238+E239+E240+E241+E242+E243+E244+E245+E246+E247+E248+E249</f>
        <v>4684385.5199999996</v>
      </c>
      <c r="F225" s="1636">
        <f t="shared" ref="F225:J225" si="64">F226+F227+F228+F229+F230+F231+F232+F233+F234+F235+F236+F237+F238+F239+F240+F241+F242+F243+F244+F245+F246+F247+F248+F249</f>
        <v>756016.58999999985</v>
      </c>
      <c r="G225" s="1637">
        <f t="shared" si="64"/>
        <v>5440402.1099999994</v>
      </c>
      <c r="H225" s="1637">
        <f t="shared" si="64"/>
        <v>5232709.0000000019</v>
      </c>
      <c r="I225" s="1639">
        <f t="shared" si="61"/>
        <v>0.96182394135568827</v>
      </c>
      <c r="J225" s="1635">
        <f t="shared" si="64"/>
        <v>333873.2</v>
      </c>
    </row>
    <row r="226" spans="1:10" ht="45" x14ac:dyDescent="0.2">
      <c r="A226" s="9"/>
      <c r="B226" s="9"/>
      <c r="C226" s="10" t="s">
        <v>205</v>
      </c>
      <c r="D226" s="11" t="s">
        <v>373</v>
      </c>
      <c r="E226" s="1345">
        <v>72000</v>
      </c>
      <c r="F226" s="1343">
        <f>G226-E226</f>
        <v>-25100</v>
      </c>
      <c r="G226" s="1351" t="s">
        <v>598</v>
      </c>
      <c r="H226" s="1352">
        <v>44076.29</v>
      </c>
      <c r="I226" s="1348">
        <f t="shared" si="61"/>
        <v>0.9397929637526653</v>
      </c>
      <c r="J226" s="1344">
        <v>0</v>
      </c>
    </row>
    <row r="227" spans="1:10" ht="22.5" x14ac:dyDescent="0.2">
      <c r="A227" s="9"/>
      <c r="B227" s="9"/>
      <c r="C227" s="10" t="s">
        <v>599</v>
      </c>
      <c r="D227" s="11" t="s">
        <v>600</v>
      </c>
      <c r="E227" s="1345">
        <v>1131062.52</v>
      </c>
      <c r="F227" s="1343">
        <f t="shared" ref="F227:F249" si="65">G227-E227</f>
        <v>250067.70999999996</v>
      </c>
      <c r="G227" s="1351" t="s">
        <v>601</v>
      </c>
      <c r="H227" s="1352">
        <v>1270685.3600000001</v>
      </c>
      <c r="I227" s="1348">
        <f t="shared" si="61"/>
        <v>0.92003297907685366</v>
      </c>
      <c r="J227" s="1344">
        <v>0</v>
      </c>
    </row>
    <row r="228" spans="1:10" x14ac:dyDescent="0.2">
      <c r="A228" s="9"/>
      <c r="B228" s="9"/>
      <c r="C228" s="10" t="s">
        <v>445</v>
      </c>
      <c r="D228" s="11" t="s">
        <v>446</v>
      </c>
      <c r="E228" s="1345">
        <v>41822</v>
      </c>
      <c r="F228" s="1343">
        <f t="shared" si="65"/>
        <v>40786</v>
      </c>
      <c r="G228" s="1351" t="s">
        <v>602</v>
      </c>
      <c r="H228" s="1352">
        <v>80671.009999999995</v>
      </c>
      <c r="I228" s="1348">
        <f t="shared" si="61"/>
        <v>0.97655202885919035</v>
      </c>
      <c r="J228" s="1344">
        <v>1614.23</v>
      </c>
    </row>
    <row r="229" spans="1:10" x14ac:dyDescent="0.2">
      <c r="A229" s="9"/>
      <c r="B229" s="9"/>
      <c r="C229" s="10" t="s">
        <v>342</v>
      </c>
      <c r="D229" s="11" t="s">
        <v>343</v>
      </c>
      <c r="E229" s="1345">
        <v>1954985</v>
      </c>
      <c r="F229" s="1343">
        <f t="shared" si="65"/>
        <v>299588.87999999989</v>
      </c>
      <c r="G229" s="1351" t="s">
        <v>603</v>
      </c>
      <c r="H229" s="1352">
        <v>2252815.85</v>
      </c>
      <c r="I229" s="1348">
        <f t="shared" si="61"/>
        <v>0.99922023846031616</v>
      </c>
      <c r="J229" s="1344">
        <v>47825.62</v>
      </c>
    </row>
    <row r="230" spans="1:10" x14ac:dyDescent="0.2">
      <c r="A230" s="9"/>
      <c r="B230" s="9"/>
      <c r="C230" s="10" t="s">
        <v>453</v>
      </c>
      <c r="D230" s="11" t="s">
        <v>454</v>
      </c>
      <c r="E230" s="1345">
        <v>154831</v>
      </c>
      <c r="F230" s="1343">
        <f t="shared" si="65"/>
        <v>-16733</v>
      </c>
      <c r="G230" s="1351" t="s">
        <v>604</v>
      </c>
      <c r="H230" s="1352">
        <v>138097.79999999999</v>
      </c>
      <c r="I230" s="1348">
        <f t="shared" si="61"/>
        <v>0.99999855175310282</v>
      </c>
      <c r="J230" s="1344">
        <v>185882.15</v>
      </c>
    </row>
    <row r="231" spans="1:10" x14ac:dyDescent="0.2">
      <c r="A231" s="9"/>
      <c r="B231" s="9"/>
      <c r="C231" s="10" t="s">
        <v>345</v>
      </c>
      <c r="D231" s="11" t="s">
        <v>346</v>
      </c>
      <c r="E231" s="1345">
        <v>358373</v>
      </c>
      <c r="F231" s="1343">
        <f t="shared" si="65"/>
        <v>36466</v>
      </c>
      <c r="G231" s="1351" t="s">
        <v>605</v>
      </c>
      <c r="H231" s="1352">
        <v>393760.29</v>
      </c>
      <c r="I231" s="1348">
        <f t="shared" si="61"/>
        <v>0.99726797504805753</v>
      </c>
      <c r="J231" s="1344">
        <v>64661.17</v>
      </c>
    </row>
    <row r="232" spans="1:10" x14ac:dyDescent="0.2">
      <c r="A232" s="9"/>
      <c r="B232" s="9"/>
      <c r="C232" s="10" t="s">
        <v>348</v>
      </c>
      <c r="D232" s="11" t="s">
        <v>349</v>
      </c>
      <c r="E232" s="1345">
        <v>51244</v>
      </c>
      <c r="F232" s="1343">
        <f t="shared" si="65"/>
        <v>-3596</v>
      </c>
      <c r="G232" s="1351" t="s">
        <v>606</v>
      </c>
      <c r="H232" s="1352">
        <v>47478.34</v>
      </c>
      <c r="I232" s="1348">
        <f t="shared" si="61"/>
        <v>0.99643930490261912</v>
      </c>
      <c r="J232" s="1344">
        <v>8144.95</v>
      </c>
    </row>
    <row r="233" spans="1:10" x14ac:dyDescent="0.2">
      <c r="A233" s="9"/>
      <c r="B233" s="9"/>
      <c r="C233" s="10" t="s">
        <v>363</v>
      </c>
      <c r="D233" s="11" t="s">
        <v>364</v>
      </c>
      <c r="E233" s="1345">
        <v>5000</v>
      </c>
      <c r="F233" s="1343">
        <f t="shared" si="65"/>
        <v>0</v>
      </c>
      <c r="G233" s="1351" t="s">
        <v>588</v>
      </c>
      <c r="H233" s="1352">
        <v>3570.48</v>
      </c>
      <c r="I233" s="1348">
        <f t="shared" si="61"/>
        <v>0.71409599999999995</v>
      </c>
      <c r="J233" s="1344">
        <v>429.52</v>
      </c>
    </row>
    <row r="234" spans="1:10" x14ac:dyDescent="0.2">
      <c r="A234" s="9"/>
      <c r="B234" s="9"/>
      <c r="C234" s="10" t="s">
        <v>351</v>
      </c>
      <c r="D234" s="11" t="s">
        <v>352</v>
      </c>
      <c r="E234" s="1345">
        <v>95000</v>
      </c>
      <c r="F234" s="1343">
        <f t="shared" si="65"/>
        <v>16759</v>
      </c>
      <c r="G234" s="1351" t="s">
        <v>607</v>
      </c>
      <c r="H234" s="1352">
        <v>111253.9</v>
      </c>
      <c r="I234" s="1348">
        <f t="shared" si="61"/>
        <v>0.99548045347578262</v>
      </c>
      <c r="J234" s="1344">
        <v>0</v>
      </c>
    </row>
    <row r="235" spans="1:10" x14ac:dyDescent="0.2">
      <c r="A235" s="9"/>
      <c r="B235" s="9"/>
      <c r="C235" s="10" t="s">
        <v>608</v>
      </c>
      <c r="D235" s="11" t="s">
        <v>609</v>
      </c>
      <c r="E235" s="1345">
        <v>355000</v>
      </c>
      <c r="F235" s="1343">
        <f t="shared" si="65"/>
        <v>33800</v>
      </c>
      <c r="G235" s="1351" t="s">
        <v>201</v>
      </c>
      <c r="H235" s="1352">
        <v>350100.85</v>
      </c>
      <c r="I235" s="1348">
        <f t="shared" si="61"/>
        <v>0.90046514917695464</v>
      </c>
      <c r="J235" s="1344">
        <v>0</v>
      </c>
    </row>
    <row r="236" spans="1:10" x14ac:dyDescent="0.2">
      <c r="A236" s="9"/>
      <c r="B236" s="9"/>
      <c r="C236" s="10" t="s">
        <v>573</v>
      </c>
      <c r="D236" s="11" t="s">
        <v>574</v>
      </c>
      <c r="E236" s="1345">
        <v>8500</v>
      </c>
      <c r="F236" s="1343">
        <f t="shared" si="65"/>
        <v>0</v>
      </c>
      <c r="G236" s="1351" t="s">
        <v>610</v>
      </c>
      <c r="H236" s="1352">
        <v>7867.12</v>
      </c>
      <c r="I236" s="1348">
        <f t="shared" si="61"/>
        <v>0.92554352941176465</v>
      </c>
      <c r="J236" s="1344">
        <v>0</v>
      </c>
    </row>
    <row r="237" spans="1:10" x14ac:dyDescent="0.2">
      <c r="A237" s="9"/>
      <c r="B237" s="9"/>
      <c r="C237" s="10" t="s">
        <v>367</v>
      </c>
      <c r="D237" s="11" t="s">
        <v>368</v>
      </c>
      <c r="E237" s="1345">
        <v>248000</v>
      </c>
      <c r="F237" s="1343">
        <f t="shared" si="65"/>
        <v>-9500</v>
      </c>
      <c r="G237" s="1351" t="s">
        <v>611</v>
      </c>
      <c r="H237" s="1352">
        <v>204469.48</v>
      </c>
      <c r="I237" s="1348">
        <f t="shared" si="61"/>
        <v>0.85731438155136275</v>
      </c>
      <c r="J237" s="1344">
        <v>24400.04</v>
      </c>
    </row>
    <row r="238" spans="1:10" x14ac:dyDescent="0.2">
      <c r="A238" s="9"/>
      <c r="B238" s="9"/>
      <c r="C238" s="10" t="s">
        <v>381</v>
      </c>
      <c r="D238" s="11" t="s">
        <v>382</v>
      </c>
      <c r="E238" s="1345">
        <v>10500</v>
      </c>
      <c r="F238" s="1343">
        <f t="shared" si="65"/>
        <v>35051</v>
      </c>
      <c r="G238" s="1351" t="s">
        <v>612</v>
      </c>
      <c r="H238" s="1352">
        <v>39155.360000000001</v>
      </c>
      <c r="I238" s="1348">
        <f t="shared" si="61"/>
        <v>0.85959386182520692</v>
      </c>
      <c r="J238" s="1344">
        <v>0</v>
      </c>
    </row>
    <row r="239" spans="1:10" x14ac:dyDescent="0.2">
      <c r="A239" s="9"/>
      <c r="B239" s="9"/>
      <c r="C239" s="10" t="s">
        <v>472</v>
      </c>
      <c r="D239" s="11" t="s">
        <v>473</v>
      </c>
      <c r="E239" s="1345">
        <v>4000</v>
      </c>
      <c r="F239" s="1343">
        <f t="shared" si="65"/>
        <v>-1000</v>
      </c>
      <c r="G239" s="1351" t="s">
        <v>528</v>
      </c>
      <c r="H239" s="1352">
        <v>1765</v>
      </c>
      <c r="I239" s="1348">
        <f t="shared" si="61"/>
        <v>0.58833333333333337</v>
      </c>
      <c r="J239" s="1344">
        <v>0</v>
      </c>
    </row>
    <row r="240" spans="1:10" x14ac:dyDescent="0.2">
      <c r="A240" s="9"/>
      <c r="B240" s="9"/>
      <c r="C240" s="10" t="s">
        <v>354</v>
      </c>
      <c r="D240" s="11" t="s">
        <v>355</v>
      </c>
      <c r="E240" s="1345">
        <v>59000</v>
      </c>
      <c r="F240" s="1343">
        <f t="shared" si="65"/>
        <v>14350</v>
      </c>
      <c r="G240" s="1351" t="s">
        <v>613</v>
      </c>
      <c r="H240" s="1352">
        <v>68907.850000000006</v>
      </c>
      <c r="I240" s="1348">
        <f t="shared" si="61"/>
        <v>0.9394389911383777</v>
      </c>
      <c r="J240" s="1344">
        <v>915.52</v>
      </c>
    </row>
    <row r="241" spans="1:10" ht="33.75" x14ac:dyDescent="0.2">
      <c r="A241" s="9"/>
      <c r="B241" s="9"/>
      <c r="C241" s="10" t="s">
        <v>614</v>
      </c>
      <c r="D241" s="11" t="s">
        <v>615</v>
      </c>
      <c r="E241" s="1345">
        <v>0</v>
      </c>
      <c r="F241" s="1343">
        <f t="shared" si="65"/>
        <v>50100</v>
      </c>
      <c r="G241" s="1351" t="s">
        <v>617</v>
      </c>
      <c r="H241" s="1352">
        <v>50039.48</v>
      </c>
      <c r="I241" s="1348">
        <f t="shared" si="61"/>
        <v>0.99879201596806388</v>
      </c>
      <c r="J241" s="1344">
        <v>0</v>
      </c>
    </row>
    <row r="242" spans="1:10" x14ac:dyDescent="0.2">
      <c r="A242" s="9"/>
      <c r="B242" s="9"/>
      <c r="C242" s="10" t="s">
        <v>475</v>
      </c>
      <c r="D242" s="11" t="s">
        <v>476</v>
      </c>
      <c r="E242" s="1345">
        <v>7500</v>
      </c>
      <c r="F242" s="1343">
        <f t="shared" si="65"/>
        <v>-2100</v>
      </c>
      <c r="G242" s="1351" t="s">
        <v>618</v>
      </c>
      <c r="H242" s="1352">
        <v>4771.84</v>
      </c>
      <c r="I242" s="1348">
        <f t="shared" si="61"/>
        <v>0.88367407407407406</v>
      </c>
      <c r="J242" s="1344">
        <v>0</v>
      </c>
    </row>
    <row r="243" spans="1:10" x14ac:dyDescent="0.2">
      <c r="A243" s="9"/>
      <c r="B243" s="9"/>
      <c r="C243" s="10" t="s">
        <v>484</v>
      </c>
      <c r="D243" s="11" t="s">
        <v>485</v>
      </c>
      <c r="E243" s="1345">
        <v>3500</v>
      </c>
      <c r="F243" s="1343">
        <f t="shared" si="65"/>
        <v>-601</v>
      </c>
      <c r="G243" s="1351" t="s">
        <v>619</v>
      </c>
      <c r="H243" s="1352">
        <v>1954.58</v>
      </c>
      <c r="I243" s="1348">
        <f t="shared" si="61"/>
        <v>0.67422559503276991</v>
      </c>
      <c r="J243" s="1344">
        <v>0</v>
      </c>
    </row>
    <row r="244" spans="1:10" x14ac:dyDescent="0.2">
      <c r="A244" s="9"/>
      <c r="B244" s="9"/>
      <c r="C244" s="10" t="s">
        <v>357</v>
      </c>
      <c r="D244" s="11" t="s">
        <v>358</v>
      </c>
      <c r="E244" s="1345">
        <v>1290</v>
      </c>
      <c r="F244" s="1343">
        <f t="shared" si="65"/>
        <v>60</v>
      </c>
      <c r="G244" s="1351" t="s">
        <v>620</v>
      </c>
      <c r="H244" s="1352">
        <v>1032</v>
      </c>
      <c r="I244" s="1348">
        <f t="shared" si="61"/>
        <v>0.76444444444444448</v>
      </c>
      <c r="J244" s="1344">
        <v>0</v>
      </c>
    </row>
    <row r="245" spans="1:10" ht="22.5" x14ac:dyDescent="0.2">
      <c r="A245" s="9"/>
      <c r="B245" s="9"/>
      <c r="C245" s="10" t="s">
        <v>489</v>
      </c>
      <c r="D245" s="11" t="s">
        <v>490</v>
      </c>
      <c r="E245" s="1345">
        <v>108733</v>
      </c>
      <c r="F245" s="1343">
        <f t="shared" si="65"/>
        <v>17827</v>
      </c>
      <c r="G245" s="1351" t="s">
        <v>621</v>
      </c>
      <c r="H245" s="1352">
        <v>126560</v>
      </c>
      <c r="I245" s="1348">
        <f t="shared" si="61"/>
        <v>1</v>
      </c>
      <c r="J245" s="1344">
        <v>0</v>
      </c>
    </row>
    <row r="246" spans="1:10" x14ac:dyDescent="0.2">
      <c r="A246" s="9"/>
      <c r="B246" s="9"/>
      <c r="C246" s="10" t="s">
        <v>584</v>
      </c>
      <c r="D246" s="11" t="s">
        <v>585</v>
      </c>
      <c r="E246" s="1345">
        <v>345</v>
      </c>
      <c r="F246" s="1343">
        <f t="shared" si="65"/>
        <v>-27</v>
      </c>
      <c r="G246" s="1351" t="s">
        <v>622</v>
      </c>
      <c r="H246" s="1352">
        <v>318</v>
      </c>
      <c r="I246" s="1348">
        <f t="shared" si="61"/>
        <v>1</v>
      </c>
      <c r="J246" s="1344">
        <v>0</v>
      </c>
    </row>
    <row r="247" spans="1:10" x14ac:dyDescent="0.2">
      <c r="A247" s="9"/>
      <c r="B247" s="9"/>
      <c r="C247" s="10" t="s">
        <v>623</v>
      </c>
      <c r="D247" s="11" t="s">
        <v>624</v>
      </c>
      <c r="E247" s="1345">
        <v>0</v>
      </c>
      <c r="F247" s="1343">
        <f t="shared" si="65"/>
        <v>18</v>
      </c>
      <c r="G247" s="1351" t="s">
        <v>625</v>
      </c>
      <c r="H247" s="1352">
        <v>17.07</v>
      </c>
      <c r="I247" s="1348">
        <f t="shared" si="61"/>
        <v>0.94833333333333336</v>
      </c>
      <c r="J247" s="1344">
        <v>0</v>
      </c>
    </row>
    <row r="248" spans="1:10" ht="22.5" x14ac:dyDescent="0.2">
      <c r="A248" s="9"/>
      <c r="B248" s="9"/>
      <c r="C248" s="10" t="s">
        <v>433</v>
      </c>
      <c r="D248" s="11" t="s">
        <v>434</v>
      </c>
      <c r="E248" s="1345">
        <v>700</v>
      </c>
      <c r="F248" s="1343">
        <f t="shared" si="65"/>
        <v>-200</v>
      </c>
      <c r="G248" s="1351" t="s">
        <v>255</v>
      </c>
      <c r="H248" s="1352">
        <v>500</v>
      </c>
      <c r="I248" s="1348">
        <f t="shared" si="61"/>
        <v>1</v>
      </c>
      <c r="J248" s="1344">
        <v>0</v>
      </c>
    </row>
    <row r="249" spans="1:10" ht="22.5" x14ac:dyDescent="0.2">
      <c r="A249" s="9"/>
      <c r="B249" s="9"/>
      <c r="C249" s="10" t="s">
        <v>395</v>
      </c>
      <c r="D249" s="11" t="s">
        <v>396</v>
      </c>
      <c r="E249" s="1345">
        <v>13000</v>
      </c>
      <c r="F249" s="1343">
        <f t="shared" si="65"/>
        <v>20000</v>
      </c>
      <c r="G249" s="1351" t="s">
        <v>626</v>
      </c>
      <c r="H249" s="1352">
        <v>32841.050000000003</v>
      </c>
      <c r="I249" s="1348">
        <f t="shared" si="61"/>
        <v>0.99518333333333342</v>
      </c>
      <c r="J249" s="1344">
        <v>0</v>
      </c>
    </row>
    <row r="250" spans="1:10" ht="15" x14ac:dyDescent="0.2">
      <c r="A250" s="8"/>
      <c r="B250" s="1632" t="s">
        <v>208</v>
      </c>
      <c r="C250" s="1633"/>
      <c r="D250" s="1634" t="s">
        <v>209</v>
      </c>
      <c r="E250" s="1635">
        <f>E251+E252+E253+E254+E255+E256+E257+E258+E259+E260+E261+E262+E263+E264+E265+E266+E267+E268+E269</f>
        <v>4478827</v>
      </c>
      <c r="F250" s="1636">
        <f t="shared" ref="F250:J250" si="66">F251+F252+F253+F254+F255+F256+F257+F258+F259+F260+F261+F262+F263+F264+F265+F266+F267+F268+F269</f>
        <v>82983.23000000001</v>
      </c>
      <c r="G250" s="1637">
        <f t="shared" si="66"/>
        <v>4561810.2299999995</v>
      </c>
      <c r="H250" s="1637">
        <f t="shared" si="66"/>
        <v>4446562.6099999994</v>
      </c>
      <c r="I250" s="1639">
        <f t="shared" si="61"/>
        <v>0.97473642826216378</v>
      </c>
      <c r="J250" s="1635">
        <f t="shared" si="66"/>
        <v>273912.08</v>
      </c>
    </row>
    <row r="251" spans="1:10" ht="45" x14ac:dyDescent="0.2">
      <c r="A251" s="9"/>
      <c r="B251" s="9"/>
      <c r="C251" s="10" t="s">
        <v>627</v>
      </c>
      <c r="D251" s="11" t="s">
        <v>628</v>
      </c>
      <c r="E251" s="1345">
        <v>1300000</v>
      </c>
      <c r="F251" s="1343">
        <f>G251-E251</f>
        <v>0</v>
      </c>
      <c r="G251" s="1351" t="s">
        <v>629</v>
      </c>
      <c r="H251" s="1352">
        <v>1248854.77</v>
      </c>
      <c r="I251" s="1348">
        <f t="shared" si="61"/>
        <v>0.96065751538461541</v>
      </c>
      <c r="J251" s="1344">
        <v>0</v>
      </c>
    </row>
    <row r="252" spans="1:10" ht="22.5" x14ac:dyDescent="0.2">
      <c r="A252" s="9"/>
      <c r="B252" s="9"/>
      <c r="C252" s="10" t="s">
        <v>599</v>
      </c>
      <c r="D252" s="11" t="s">
        <v>600</v>
      </c>
      <c r="E252" s="1345">
        <v>645144</v>
      </c>
      <c r="F252" s="1343">
        <f t="shared" ref="F252:F269" si="67">G252-E252</f>
        <v>-28191</v>
      </c>
      <c r="G252" s="1351" t="s">
        <v>630</v>
      </c>
      <c r="H252" s="1352">
        <v>586150</v>
      </c>
      <c r="I252" s="1348">
        <f t="shared" si="61"/>
        <v>0.95007237180141757</v>
      </c>
      <c r="J252" s="1344">
        <v>0</v>
      </c>
    </row>
    <row r="253" spans="1:10" ht="33.75" x14ac:dyDescent="0.2">
      <c r="A253" s="9"/>
      <c r="B253" s="9"/>
      <c r="C253" s="10" t="s">
        <v>526</v>
      </c>
      <c r="D253" s="11" t="s">
        <v>527</v>
      </c>
      <c r="E253" s="1345">
        <v>0</v>
      </c>
      <c r="F253" s="1343">
        <f t="shared" si="67"/>
        <v>15271.83</v>
      </c>
      <c r="G253" s="1351" t="s">
        <v>631</v>
      </c>
      <c r="H253" s="1352">
        <v>15251.08</v>
      </c>
      <c r="I253" s="1348">
        <f t="shared" si="61"/>
        <v>0.99864128922336093</v>
      </c>
      <c r="J253" s="1344">
        <v>0</v>
      </c>
    </row>
    <row r="254" spans="1:10" x14ac:dyDescent="0.2">
      <c r="A254" s="9"/>
      <c r="B254" s="9"/>
      <c r="C254" s="10" t="s">
        <v>445</v>
      </c>
      <c r="D254" s="11" t="s">
        <v>446</v>
      </c>
      <c r="E254" s="1345">
        <v>42967</v>
      </c>
      <c r="F254" s="1343">
        <f t="shared" si="67"/>
        <v>5278</v>
      </c>
      <c r="G254" s="1351" t="s">
        <v>632</v>
      </c>
      <c r="H254" s="1352">
        <v>46484.02</v>
      </c>
      <c r="I254" s="1348">
        <f t="shared" si="61"/>
        <v>0.96349922271737998</v>
      </c>
      <c r="J254" s="1344">
        <v>943.38</v>
      </c>
    </row>
    <row r="255" spans="1:10" x14ac:dyDescent="0.2">
      <c r="A255" s="9"/>
      <c r="B255" s="9"/>
      <c r="C255" s="10" t="s">
        <v>342</v>
      </c>
      <c r="D255" s="11" t="s">
        <v>343</v>
      </c>
      <c r="E255" s="1345">
        <v>1604605</v>
      </c>
      <c r="F255" s="1343">
        <f t="shared" si="67"/>
        <v>-78093</v>
      </c>
      <c r="G255" s="1351" t="s">
        <v>633</v>
      </c>
      <c r="H255" s="1352">
        <v>1515630.87</v>
      </c>
      <c r="I255" s="1348">
        <f t="shared" si="61"/>
        <v>0.9928719001226326</v>
      </c>
      <c r="J255" s="1344">
        <v>25751.17</v>
      </c>
    </row>
    <row r="256" spans="1:10" x14ac:dyDescent="0.2">
      <c r="A256" s="9"/>
      <c r="B256" s="9"/>
      <c r="C256" s="10" t="s">
        <v>453</v>
      </c>
      <c r="D256" s="11" t="s">
        <v>454</v>
      </c>
      <c r="E256" s="1345">
        <v>130189</v>
      </c>
      <c r="F256" s="1343">
        <f t="shared" si="67"/>
        <v>-5981.7200000000012</v>
      </c>
      <c r="G256" s="1351" t="s">
        <v>634</v>
      </c>
      <c r="H256" s="1352">
        <v>124205.32</v>
      </c>
      <c r="I256" s="1348">
        <f t="shared" si="61"/>
        <v>0.9999842199265615</v>
      </c>
      <c r="J256" s="1344">
        <v>180282.67</v>
      </c>
    </row>
    <row r="257" spans="1:10" x14ac:dyDescent="0.2">
      <c r="A257" s="9"/>
      <c r="B257" s="9"/>
      <c r="C257" s="10" t="s">
        <v>345</v>
      </c>
      <c r="D257" s="11" t="s">
        <v>346</v>
      </c>
      <c r="E257" s="1345">
        <v>302791</v>
      </c>
      <c r="F257" s="1343">
        <f t="shared" si="67"/>
        <v>-21110</v>
      </c>
      <c r="G257" s="1351" t="s">
        <v>635</v>
      </c>
      <c r="H257" s="1352">
        <v>280607.82</v>
      </c>
      <c r="I257" s="1348">
        <f t="shared" si="61"/>
        <v>0.99619008736833514</v>
      </c>
      <c r="J257" s="1344">
        <v>44561.9</v>
      </c>
    </row>
    <row r="258" spans="1:10" x14ac:dyDescent="0.2">
      <c r="A258" s="9"/>
      <c r="B258" s="9"/>
      <c r="C258" s="10" t="s">
        <v>348</v>
      </c>
      <c r="D258" s="11" t="s">
        <v>349</v>
      </c>
      <c r="E258" s="1345">
        <v>43212</v>
      </c>
      <c r="F258" s="1343">
        <f t="shared" si="67"/>
        <v>-6714.2099999999991</v>
      </c>
      <c r="G258" s="1351" t="s">
        <v>636</v>
      </c>
      <c r="H258" s="1352">
        <v>36123.360000000001</v>
      </c>
      <c r="I258" s="1348">
        <f t="shared" si="61"/>
        <v>0.98974102267561948</v>
      </c>
      <c r="J258" s="1344">
        <v>5408.5</v>
      </c>
    </row>
    <row r="259" spans="1:10" x14ac:dyDescent="0.2">
      <c r="A259" s="9"/>
      <c r="B259" s="9"/>
      <c r="C259" s="10" t="s">
        <v>363</v>
      </c>
      <c r="D259" s="11" t="s">
        <v>364</v>
      </c>
      <c r="E259" s="1345">
        <v>4500</v>
      </c>
      <c r="F259" s="1343">
        <f t="shared" si="67"/>
        <v>-192</v>
      </c>
      <c r="G259" s="1351" t="s">
        <v>637</v>
      </c>
      <c r="H259" s="1352">
        <v>4038</v>
      </c>
      <c r="I259" s="1348">
        <f t="shared" si="61"/>
        <v>0.93732590529247906</v>
      </c>
      <c r="J259" s="1344">
        <v>0</v>
      </c>
    </row>
    <row r="260" spans="1:10" x14ac:dyDescent="0.2">
      <c r="A260" s="9"/>
      <c r="B260" s="9"/>
      <c r="C260" s="10" t="s">
        <v>351</v>
      </c>
      <c r="D260" s="11" t="s">
        <v>352</v>
      </c>
      <c r="E260" s="1345">
        <v>71000</v>
      </c>
      <c r="F260" s="1343">
        <f t="shared" si="67"/>
        <v>14933.14</v>
      </c>
      <c r="G260" s="1351" t="s">
        <v>638</v>
      </c>
      <c r="H260" s="1691">
        <v>79563.199999999997</v>
      </c>
      <c r="I260" s="1348">
        <f t="shared" si="61"/>
        <v>0.92587330103380372</v>
      </c>
      <c r="J260" s="1344">
        <v>0</v>
      </c>
    </row>
    <row r="261" spans="1:10" x14ac:dyDescent="0.2">
      <c r="A261" s="9"/>
      <c r="B261" s="9"/>
      <c r="C261" s="10" t="s">
        <v>573</v>
      </c>
      <c r="D261" s="11" t="s">
        <v>574</v>
      </c>
      <c r="E261" s="1345">
        <v>6000</v>
      </c>
      <c r="F261" s="1343">
        <f t="shared" si="67"/>
        <v>51518.15</v>
      </c>
      <c r="G261" s="1351" t="s">
        <v>639</v>
      </c>
      <c r="H261" s="1352">
        <v>54540.22</v>
      </c>
      <c r="I261" s="1348">
        <f t="shared" si="61"/>
        <v>0.94822625553846918</v>
      </c>
      <c r="J261" s="1344">
        <v>0</v>
      </c>
    </row>
    <row r="262" spans="1:10" x14ac:dyDescent="0.2">
      <c r="A262" s="9"/>
      <c r="B262" s="9"/>
      <c r="C262" s="10" t="s">
        <v>367</v>
      </c>
      <c r="D262" s="11" t="s">
        <v>368</v>
      </c>
      <c r="E262" s="1345">
        <v>162800</v>
      </c>
      <c r="F262" s="1343">
        <f t="shared" si="67"/>
        <v>-31000</v>
      </c>
      <c r="G262" s="1351" t="s">
        <v>640</v>
      </c>
      <c r="H262" s="1352">
        <v>124581.18</v>
      </c>
      <c r="I262" s="1348">
        <f t="shared" si="61"/>
        <v>0.94522898330804239</v>
      </c>
      <c r="J262" s="1344">
        <v>16964.46</v>
      </c>
    </row>
    <row r="263" spans="1:10" x14ac:dyDescent="0.2">
      <c r="A263" s="9"/>
      <c r="B263" s="9"/>
      <c r="C263" s="10" t="s">
        <v>381</v>
      </c>
      <c r="D263" s="11" t="s">
        <v>382</v>
      </c>
      <c r="E263" s="1345">
        <v>6000</v>
      </c>
      <c r="F263" s="1343">
        <f t="shared" si="67"/>
        <v>160899.04</v>
      </c>
      <c r="G263" s="1351" t="s">
        <v>641</v>
      </c>
      <c r="H263" s="1352">
        <v>166757.32999999999</v>
      </c>
      <c r="I263" s="1348">
        <f t="shared" ref="I263:I326" si="68">H263/G263</f>
        <v>0.9991509238159787</v>
      </c>
      <c r="J263" s="1344">
        <v>0</v>
      </c>
    </row>
    <row r="264" spans="1:10" x14ac:dyDescent="0.2">
      <c r="A264" s="9"/>
      <c r="B264" s="9"/>
      <c r="C264" s="10" t="s">
        <v>472</v>
      </c>
      <c r="D264" s="11" t="s">
        <v>473</v>
      </c>
      <c r="E264" s="1345">
        <v>7000</v>
      </c>
      <c r="F264" s="1343">
        <f t="shared" si="67"/>
        <v>-5335</v>
      </c>
      <c r="G264" s="1351" t="s">
        <v>642</v>
      </c>
      <c r="H264" s="1352">
        <v>1260</v>
      </c>
      <c r="I264" s="1348">
        <f t="shared" si="68"/>
        <v>0.7567567567567568</v>
      </c>
      <c r="J264" s="1344">
        <v>0</v>
      </c>
    </row>
    <row r="265" spans="1:10" x14ac:dyDescent="0.2">
      <c r="A265" s="9"/>
      <c r="B265" s="9"/>
      <c r="C265" s="10" t="s">
        <v>354</v>
      </c>
      <c r="D265" s="11" t="s">
        <v>355</v>
      </c>
      <c r="E265" s="1345">
        <v>44000</v>
      </c>
      <c r="F265" s="1343">
        <f t="shared" si="67"/>
        <v>7900</v>
      </c>
      <c r="G265" s="1351" t="s">
        <v>643</v>
      </c>
      <c r="H265" s="1352">
        <v>51675.17</v>
      </c>
      <c r="I265" s="1348">
        <f t="shared" si="68"/>
        <v>0.9956680154142582</v>
      </c>
      <c r="J265" s="1344">
        <v>0</v>
      </c>
    </row>
    <row r="266" spans="1:10" x14ac:dyDescent="0.2">
      <c r="A266" s="9"/>
      <c r="B266" s="9"/>
      <c r="C266" s="10" t="s">
        <v>475</v>
      </c>
      <c r="D266" s="11" t="s">
        <v>476</v>
      </c>
      <c r="E266" s="1345">
        <v>7000</v>
      </c>
      <c r="F266" s="1343">
        <f t="shared" si="67"/>
        <v>500</v>
      </c>
      <c r="G266" s="1351" t="s">
        <v>596</v>
      </c>
      <c r="H266" s="1352">
        <v>7365.22</v>
      </c>
      <c r="I266" s="1348">
        <f t="shared" si="68"/>
        <v>0.98202933333333342</v>
      </c>
      <c r="J266" s="1344">
        <v>0</v>
      </c>
    </row>
    <row r="267" spans="1:10" x14ac:dyDescent="0.2">
      <c r="A267" s="9"/>
      <c r="B267" s="9"/>
      <c r="C267" s="10" t="s">
        <v>484</v>
      </c>
      <c r="D267" s="11" t="s">
        <v>485</v>
      </c>
      <c r="E267" s="1345">
        <v>4000</v>
      </c>
      <c r="F267" s="1343">
        <f t="shared" si="67"/>
        <v>0</v>
      </c>
      <c r="G267" s="1351" t="s">
        <v>210</v>
      </c>
      <c r="H267" s="1352">
        <v>2613.0500000000002</v>
      </c>
      <c r="I267" s="1348">
        <f t="shared" si="68"/>
        <v>0.65326250000000008</v>
      </c>
      <c r="J267" s="1344">
        <v>0</v>
      </c>
    </row>
    <row r="268" spans="1:10" x14ac:dyDescent="0.2">
      <c r="A268" s="9"/>
      <c r="B268" s="9"/>
      <c r="C268" s="10" t="s">
        <v>357</v>
      </c>
      <c r="D268" s="11" t="s">
        <v>358</v>
      </c>
      <c r="E268" s="1345">
        <v>1500</v>
      </c>
      <c r="F268" s="1343">
        <f t="shared" si="67"/>
        <v>-900</v>
      </c>
      <c r="G268" s="1351" t="s">
        <v>82</v>
      </c>
      <c r="H268" s="1352">
        <v>543</v>
      </c>
      <c r="I268" s="1348">
        <f t="shared" si="68"/>
        <v>0.90500000000000003</v>
      </c>
      <c r="J268" s="1344">
        <v>0</v>
      </c>
    </row>
    <row r="269" spans="1:10" ht="22.5" x14ac:dyDescent="0.2">
      <c r="A269" s="9"/>
      <c r="B269" s="9"/>
      <c r="C269" s="10" t="s">
        <v>489</v>
      </c>
      <c r="D269" s="11" t="s">
        <v>490</v>
      </c>
      <c r="E269" s="1345">
        <v>96119</v>
      </c>
      <c r="F269" s="1343">
        <f t="shared" si="67"/>
        <v>4200</v>
      </c>
      <c r="G269" s="1351" t="s">
        <v>644</v>
      </c>
      <c r="H269" s="1352">
        <v>100319</v>
      </c>
      <c r="I269" s="1348">
        <f t="shared" si="68"/>
        <v>1</v>
      </c>
      <c r="J269" s="1344">
        <v>0</v>
      </c>
    </row>
    <row r="270" spans="1:10" ht="15" x14ac:dyDescent="0.2">
      <c r="A270" s="8"/>
      <c r="B270" s="1632" t="s">
        <v>645</v>
      </c>
      <c r="C270" s="1633"/>
      <c r="D270" s="1634" t="s">
        <v>646</v>
      </c>
      <c r="E270" s="1635">
        <f>E271+E272+E273</f>
        <v>761500</v>
      </c>
      <c r="F270" s="1636">
        <f t="shared" ref="F270:J270" si="69">F271+F272+F273</f>
        <v>-4000</v>
      </c>
      <c r="G270" s="1637">
        <f t="shared" si="69"/>
        <v>757500</v>
      </c>
      <c r="H270" s="1637">
        <f t="shared" si="69"/>
        <v>757500</v>
      </c>
      <c r="I270" s="1639">
        <f t="shared" si="68"/>
        <v>1</v>
      </c>
      <c r="J270" s="1635">
        <f t="shared" si="69"/>
        <v>44810.19</v>
      </c>
    </row>
    <row r="271" spans="1:10" x14ac:dyDescent="0.2">
      <c r="A271" s="9"/>
      <c r="B271" s="9"/>
      <c r="C271" s="10" t="s">
        <v>363</v>
      </c>
      <c r="D271" s="11" t="s">
        <v>364</v>
      </c>
      <c r="E271" s="1345">
        <v>1000</v>
      </c>
      <c r="F271" s="1343">
        <f>G271-E271</f>
        <v>-1000</v>
      </c>
      <c r="G271" s="1351" t="s">
        <v>7</v>
      </c>
      <c r="H271" s="1352">
        <v>0</v>
      </c>
      <c r="I271" s="1348">
        <v>0</v>
      </c>
      <c r="J271" s="1344">
        <v>0</v>
      </c>
    </row>
    <row r="272" spans="1:10" x14ac:dyDescent="0.2">
      <c r="A272" s="9"/>
      <c r="B272" s="9"/>
      <c r="C272" s="10" t="s">
        <v>351</v>
      </c>
      <c r="D272" s="11" t="s">
        <v>352</v>
      </c>
      <c r="E272" s="1345">
        <v>3000</v>
      </c>
      <c r="F272" s="1343">
        <f t="shared" ref="F272:F273" si="70">G272-E272</f>
        <v>-3000</v>
      </c>
      <c r="G272" s="1351" t="s">
        <v>7</v>
      </c>
      <c r="H272" s="1352">
        <v>0</v>
      </c>
      <c r="I272" s="1348">
        <v>0</v>
      </c>
      <c r="J272" s="1344">
        <v>0</v>
      </c>
    </row>
    <row r="273" spans="1:10" x14ac:dyDescent="0.2">
      <c r="A273" s="9"/>
      <c r="B273" s="9"/>
      <c r="C273" s="10" t="s">
        <v>354</v>
      </c>
      <c r="D273" s="11" t="s">
        <v>355</v>
      </c>
      <c r="E273" s="1345">
        <v>757500</v>
      </c>
      <c r="F273" s="1343">
        <f t="shared" si="70"/>
        <v>0</v>
      </c>
      <c r="G273" s="1351" t="s">
        <v>647</v>
      </c>
      <c r="H273" s="1352">
        <v>757500</v>
      </c>
      <c r="I273" s="1348">
        <f t="shared" si="68"/>
        <v>1</v>
      </c>
      <c r="J273" s="1344">
        <v>44810.19</v>
      </c>
    </row>
    <row r="274" spans="1:10" ht="15" x14ac:dyDescent="0.2">
      <c r="A274" s="8"/>
      <c r="B274" s="1632" t="s">
        <v>648</v>
      </c>
      <c r="C274" s="1633"/>
      <c r="D274" s="1634" t="s">
        <v>649</v>
      </c>
      <c r="E274" s="1635">
        <f>E275+E276</f>
        <v>98369</v>
      </c>
      <c r="F274" s="1636">
        <f t="shared" ref="F274:J274" si="71">F275+F276</f>
        <v>-11310</v>
      </c>
      <c r="G274" s="1637">
        <f t="shared" si="71"/>
        <v>87059</v>
      </c>
      <c r="H274" s="1637">
        <f t="shared" si="71"/>
        <v>79778.11</v>
      </c>
      <c r="I274" s="1639">
        <f t="shared" si="68"/>
        <v>0.91636832492907105</v>
      </c>
      <c r="J274" s="1635">
        <f t="shared" si="71"/>
        <v>0</v>
      </c>
    </row>
    <row r="275" spans="1:10" x14ac:dyDescent="0.2">
      <c r="A275" s="9"/>
      <c r="B275" s="9"/>
      <c r="C275" s="10" t="s">
        <v>354</v>
      </c>
      <c r="D275" s="11" t="s">
        <v>355</v>
      </c>
      <c r="E275" s="1345">
        <v>27000</v>
      </c>
      <c r="F275" s="1343">
        <f>G275-E275</f>
        <v>-13655</v>
      </c>
      <c r="G275" s="1351" t="s">
        <v>650</v>
      </c>
      <c r="H275" s="1352">
        <v>11307</v>
      </c>
      <c r="I275" s="1348">
        <f t="shared" si="68"/>
        <v>0.8472836268265268</v>
      </c>
      <c r="J275" s="1344">
        <v>0</v>
      </c>
    </row>
    <row r="276" spans="1:10" ht="22.5" x14ac:dyDescent="0.2">
      <c r="A276" s="9"/>
      <c r="B276" s="9"/>
      <c r="C276" s="10" t="s">
        <v>433</v>
      </c>
      <c r="D276" s="11" t="s">
        <v>434</v>
      </c>
      <c r="E276" s="1345">
        <v>71369</v>
      </c>
      <c r="F276" s="1343">
        <f>G276-E276</f>
        <v>2345</v>
      </c>
      <c r="G276" s="1351" t="s">
        <v>651</v>
      </c>
      <c r="H276" s="1352">
        <v>68471.11</v>
      </c>
      <c r="I276" s="1348">
        <f t="shared" si="68"/>
        <v>0.92887524757847895</v>
      </c>
      <c r="J276" s="1344">
        <v>0</v>
      </c>
    </row>
    <row r="277" spans="1:10" ht="15" x14ac:dyDescent="0.2">
      <c r="A277" s="8"/>
      <c r="B277" s="1632" t="s">
        <v>212</v>
      </c>
      <c r="C277" s="1633"/>
      <c r="D277" s="1634" t="s">
        <v>213</v>
      </c>
      <c r="E277" s="1635">
        <f>E278+E279+E280+E281+E282+E283+E284+E285+E286+E287+E288</f>
        <v>628215</v>
      </c>
      <c r="F277" s="1636">
        <f t="shared" ref="F277:J277" si="72">F278+F279+F280+F281+F282+F283+F284+F285+F286+F287+F288</f>
        <v>12954.869999999999</v>
      </c>
      <c r="G277" s="1637">
        <f t="shared" si="72"/>
        <v>641169.87</v>
      </c>
      <c r="H277" s="1637">
        <f t="shared" si="72"/>
        <v>614878.17000000004</v>
      </c>
      <c r="I277" s="1639">
        <f t="shared" si="68"/>
        <v>0.95899417419598965</v>
      </c>
      <c r="J277" s="1635">
        <f t="shared" si="72"/>
        <v>30321.219999999998</v>
      </c>
    </row>
    <row r="278" spans="1:10" x14ac:dyDescent="0.2">
      <c r="A278" s="9"/>
      <c r="B278" s="9"/>
      <c r="C278" s="10" t="s">
        <v>342</v>
      </c>
      <c r="D278" s="11" t="s">
        <v>343</v>
      </c>
      <c r="E278" s="1345">
        <v>246127</v>
      </c>
      <c r="F278" s="1343">
        <f>G278-E278</f>
        <v>6674</v>
      </c>
      <c r="G278" s="1351" t="s">
        <v>652</v>
      </c>
      <c r="H278" s="1352">
        <v>250824.48</v>
      </c>
      <c r="I278" s="1348">
        <f t="shared" si="68"/>
        <v>0.99218151826931067</v>
      </c>
      <c r="J278" s="1344">
        <v>4369.6499999999996</v>
      </c>
    </row>
    <row r="279" spans="1:10" x14ac:dyDescent="0.2">
      <c r="A279" s="9"/>
      <c r="B279" s="9"/>
      <c r="C279" s="10" t="s">
        <v>453</v>
      </c>
      <c r="D279" s="11" t="s">
        <v>454</v>
      </c>
      <c r="E279" s="1345">
        <v>19221</v>
      </c>
      <c r="F279" s="1343">
        <f t="shared" ref="F279:F288" si="73">G279-E279</f>
        <v>-1850.130000000001</v>
      </c>
      <c r="G279" s="1351" t="s">
        <v>653</v>
      </c>
      <c r="H279" s="1352">
        <v>17370.09</v>
      </c>
      <c r="I279" s="1348">
        <f t="shared" si="68"/>
        <v>0.99995509724038012</v>
      </c>
      <c r="J279" s="1344">
        <v>19045.669999999998</v>
      </c>
    </row>
    <row r="280" spans="1:10" x14ac:dyDescent="0.2">
      <c r="A280" s="9"/>
      <c r="B280" s="9"/>
      <c r="C280" s="10" t="s">
        <v>345</v>
      </c>
      <c r="D280" s="11" t="s">
        <v>346</v>
      </c>
      <c r="E280" s="1345">
        <v>45092</v>
      </c>
      <c r="F280" s="1343">
        <f t="shared" si="73"/>
        <v>-818</v>
      </c>
      <c r="G280" s="1351" t="s">
        <v>654</v>
      </c>
      <c r="H280" s="1352">
        <v>44010.99</v>
      </c>
      <c r="I280" s="1348">
        <f t="shared" si="68"/>
        <v>0.99405949315625419</v>
      </c>
      <c r="J280" s="1344">
        <v>6500.85</v>
      </c>
    </row>
    <row r="281" spans="1:10" x14ac:dyDescent="0.2">
      <c r="A281" s="9"/>
      <c r="B281" s="9"/>
      <c r="C281" s="10" t="s">
        <v>348</v>
      </c>
      <c r="D281" s="11" t="s">
        <v>349</v>
      </c>
      <c r="E281" s="1345">
        <v>6426</v>
      </c>
      <c r="F281" s="1343">
        <f t="shared" si="73"/>
        <v>-2956</v>
      </c>
      <c r="G281" s="1351" t="s">
        <v>655</v>
      </c>
      <c r="H281" s="1352">
        <v>3391.15</v>
      </c>
      <c r="I281" s="1348">
        <f t="shared" si="68"/>
        <v>0.97727665706051881</v>
      </c>
      <c r="J281" s="1344">
        <v>405.05</v>
      </c>
    </row>
    <row r="282" spans="1:10" x14ac:dyDescent="0.2">
      <c r="A282" s="9"/>
      <c r="B282" s="9"/>
      <c r="C282" s="10" t="s">
        <v>363</v>
      </c>
      <c r="D282" s="11" t="s">
        <v>364</v>
      </c>
      <c r="E282" s="1345">
        <v>3000</v>
      </c>
      <c r="F282" s="1343">
        <f t="shared" si="73"/>
        <v>0</v>
      </c>
      <c r="G282" s="1351" t="s">
        <v>528</v>
      </c>
      <c r="H282" s="1352">
        <v>3000</v>
      </c>
      <c r="I282" s="1348">
        <f t="shared" si="68"/>
        <v>1</v>
      </c>
      <c r="J282" s="1344">
        <v>0</v>
      </c>
    </row>
    <row r="283" spans="1:10" x14ac:dyDescent="0.2">
      <c r="A283" s="9"/>
      <c r="B283" s="9"/>
      <c r="C283" s="10" t="s">
        <v>351</v>
      </c>
      <c r="D283" s="11" t="s">
        <v>352</v>
      </c>
      <c r="E283" s="1345">
        <v>24100</v>
      </c>
      <c r="F283" s="1343">
        <f t="shared" si="73"/>
        <v>0</v>
      </c>
      <c r="G283" s="1351" t="s">
        <v>656</v>
      </c>
      <c r="H283" s="1352">
        <v>23864.7</v>
      </c>
      <c r="I283" s="1348">
        <f t="shared" si="68"/>
        <v>0.99023651452282158</v>
      </c>
      <c r="J283" s="1344">
        <v>0</v>
      </c>
    </row>
    <row r="284" spans="1:10" x14ac:dyDescent="0.2">
      <c r="A284" s="9"/>
      <c r="B284" s="9"/>
      <c r="C284" s="10" t="s">
        <v>608</v>
      </c>
      <c r="D284" s="11" t="s">
        <v>609</v>
      </c>
      <c r="E284" s="1345">
        <v>269000</v>
      </c>
      <c r="F284" s="1343">
        <f t="shared" si="73"/>
        <v>12600</v>
      </c>
      <c r="G284" s="1351" t="s">
        <v>657</v>
      </c>
      <c r="H284" s="1352">
        <v>258867.74</v>
      </c>
      <c r="I284" s="1348">
        <f t="shared" si="68"/>
        <v>0.91927464488636357</v>
      </c>
      <c r="J284" s="1344">
        <v>0</v>
      </c>
    </row>
    <row r="285" spans="1:10" x14ac:dyDescent="0.2">
      <c r="A285" s="9"/>
      <c r="B285" s="9"/>
      <c r="C285" s="10" t="s">
        <v>381</v>
      </c>
      <c r="D285" s="11" t="s">
        <v>382</v>
      </c>
      <c r="E285" s="1345">
        <v>1500</v>
      </c>
      <c r="F285" s="1343">
        <f t="shared" si="73"/>
        <v>0</v>
      </c>
      <c r="G285" s="1351" t="s">
        <v>79</v>
      </c>
      <c r="H285" s="1352">
        <v>1500</v>
      </c>
      <c r="I285" s="1348">
        <f t="shared" si="68"/>
        <v>1</v>
      </c>
      <c r="J285" s="1344">
        <v>0</v>
      </c>
    </row>
    <row r="286" spans="1:10" x14ac:dyDescent="0.2">
      <c r="A286" s="9"/>
      <c r="B286" s="9"/>
      <c r="C286" s="10" t="s">
        <v>472</v>
      </c>
      <c r="D286" s="11" t="s">
        <v>473</v>
      </c>
      <c r="E286" s="1345">
        <v>950</v>
      </c>
      <c r="F286" s="1343">
        <f t="shared" si="73"/>
        <v>-695</v>
      </c>
      <c r="G286" s="1351" t="s">
        <v>658</v>
      </c>
      <c r="H286" s="1352">
        <v>255</v>
      </c>
      <c r="I286" s="1348">
        <f t="shared" si="68"/>
        <v>1</v>
      </c>
      <c r="J286" s="1344">
        <v>0</v>
      </c>
    </row>
    <row r="287" spans="1:10" x14ac:dyDescent="0.2">
      <c r="A287" s="9"/>
      <c r="B287" s="9"/>
      <c r="C287" s="10" t="s">
        <v>354</v>
      </c>
      <c r="D287" s="11" t="s">
        <v>355</v>
      </c>
      <c r="E287" s="1345">
        <v>3500</v>
      </c>
      <c r="F287" s="1343">
        <f t="shared" si="73"/>
        <v>0</v>
      </c>
      <c r="G287" s="1351" t="s">
        <v>543</v>
      </c>
      <c r="H287" s="1352">
        <v>2495.02</v>
      </c>
      <c r="I287" s="1348">
        <f t="shared" si="68"/>
        <v>0.71286285714285713</v>
      </c>
      <c r="J287" s="1344">
        <v>0</v>
      </c>
    </row>
    <row r="288" spans="1:10" ht="22.5" x14ac:dyDescent="0.2">
      <c r="A288" s="9"/>
      <c r="B288" s="9"/>
      <c r="C288" s="10" t="s">
        <v>489</v>
      </c>
      <c r="D288" s="11" t="s">
        <v>490</v>
      </c>
      <c r="E288" s="1345">
        <v>9299</v>
      </c>
      <c r="F288" s="1343">
        <f t="shared" si="73"/>
        <v>0</v>
      </c>
      <c r="G288" s="1351" t="s">
        <v>659</v>
      </c>
      <c r="H288" s="1352">
        <v>9299</v>
      </c>
      <c r="I288" s="1348">
        <f t="shared" si="68"/>
        <v>1</v>
      </c>
      <c r="J288" s="1344">
        <v>0</v>
      </c>
    </row>
    <row r="289" spans="1:10" ht="56.25" x14ac:dyDescent="0.2">
      <c r="A289" s="8"/>
      <c r="B289" s="1632" t="s">
        <v>660</v>
      </c>
      <c r="C289" s="1633"/>
      <c r="D289" s="1634" t="s">
        <v>661</v>
      </c>
      <c r="E289" s="1635">
        <f>E290+E291+E292+E293+E294+E295+E296+E297+E298+E299+E300+E301+E302</f>
        <v>819337</v>
      </c>
      <c r="F289" s="1636">
        <f t="shared" ref="F289:J289" si="74">F290+F291+F292+F293+F294+F295+F296+F297+F298+F299+F300+F301+F302</f>
        <v>-417303.00000000006</v>
      </c>
      <c r="G289" s="1637">
        <f t="shared" si="74"/>
        <v>402033.99999999994</v>
      </c>
      <c r="H289" s="1637">
        <f t="shared" si="74"/>
        <v>401594.45999999996</v>
      </c>
      <c r="I289" s="1639">
        <f t="shared" si="68"/>
        <v>0.99890670938278858</v>
      </c>
      <c r="J289" s="1635">
        <f t="shared" si="74"/>
        <v>1939.04</v>
      </c>
    </row>
    <row r="290" spans="1:10" ht="22.5" x14ac:dyDescent="0.2">
      <c r="A290" s="9"/>
      <c r="B290" s="9"/>
      <c r="C290" s="10" t="s">
        <v>599</v>
      </c>
      <c r="D290" s="11" t="s">
        <v>600</v>
      </c>
      <c r="E290" s="1345">
        <v>170000</v>
      </c>
      <c r="F290" s="1343">
        <f>G290-E290</f>
        <v>-57507.759999999995</v>
      </c>
      <c r="G290" s="1351" t="s">
        <v>662</v>
      </c>
      <c r="H290" s="1352">
        <v>112492.24</v>
      </c>
      <c r="I290" s="1348">
        <f t="shared" si="68"/>
        <v>1</v>
      </c>
      <c r="J290" s="1344">
        <v>0</v>
      </c>
    </row>
    <row r="291" spans="1:10" x14ac:dyDescent="0.2">
      <c r="A291" s="9"/>
      <c r="B291" s="9"/>
      <c r="C291" s="10" t="s">
        <v>445</v>
      </c>
      <c r="D291" s="11" t="s">
        <v>446</v>
      </c>
      <c r="E291" s="1345">
        <v>36808</v>
      </c>
      <c r="F291" s="1343">
        <f t="shared" ref="F291:F302" si="75">G291-E291</f>
        <v>-36808</v>
      </c>
      <c r="G291" s="1351" t="s">
        <v>7</v>
      </c>
      <c r="H291" s="1352">
        <v>0</v>
      </c>
      <c r="I291" s="1348">
        <v>0</v>
      </c>
      <c r="J291" s="1344">
        <v>0</v>
      </c>
    </row>
    <row r="292" spans="1:10" x14ac:dyDescent="0.2">
      <c r="A292" s="9"/>
      <c r="B292" s="9"/>
      <c r="C292" s="10" t="s">
        <v>342</v>
      </c>
      <c r="D292" s="11" t="s">
        <v>343</v>
      </c>
      <c r="E292" s="1345">
        <v>428267</v>
      </c>
      <c r="F292" s="1343">
        <f t="shared" si="75"/>
        <v>-242789.88</v>
      </c>
      <c r="G292" s="1351" t="s">
        <v>663</v>
      </c>
      <c r="H292" s="1352">
        <v>185477.12</v>
      </c>
      <c r="I292" s="1348">
        <f t="shared" si="68"/>
        <v>1</v>
      </c>
      <c r="J292" s="1344">
        <v>329.95</v>
      </c>
    </row>
    <row r="293" spans="1:10" x14ac:dyDescent="0.2">
      <c r="A293" s="9"/>
      <c r="B293" s="9"/>
      <c r="C293" s="10" t="s">
        <v>453</v>
      </c>
      <c r="D293" s="11" t="s">
        <v>454</v>
      </c>
      <c r="E293" s="1345">
        <v>33395</v>
      </c>
      <c r="F293" s="1343">
        <f t="shared" si="75"/>
        <v>-4614</v>
      </c>
      <c r="G293" s="1351" t="s">
        <v>664</v>
      </c>
      <c r="H293" s="1352">
        <v>28781</v>
      </c>
      <c r="I293" s="1348">
        <f t="shared" si="68"/>
        <v>1</v>
      </c>
      <c r="J293" s="1344">
        <v>1067</v>
      </c>
    </row>
    <row r="294" spans="1:10" x14ac:dyDescent="0.2">
      <c r="A294" s="9"/>
      <c r="B294" s="9"/>
      <c r="C294" s="10" t="s">
        <v>345</v>
      </c>
      <c r="D294" s="11" t="s">
        <v>346</v>
      </c>
      <c r="E294" s="1345">
        <v>82423</v>
      </c>
      <c r="F294" s="1343">
        <f t="shared" si="75"/>
        <v>-46126</v>
      </c>
      <c r="G294" s="1351" t="s">
        <v>665</v>
      </c>
      <c r="H294" s="1352">
        <v>36297</v>
      </c>
      <c r="I294" s="1348">
        <f t="shared" si="68"/>
        <v>1</v>
      </c>
      <c r="J294" s="1344">
        <v>477.82</v>
      </c>
    </row>
    <row r="295" spans="1:10" x14ac:dyDescent="0.2">
      <c r="A295" s="9"/>
      <c r="B295" s="9"/>
      <c r="C295" s="10" t="s">
        <v>348</v>
      </c>
      <c r="D295" s="11" t="s">
        <v>349</v>
      </c>
      <c r="E295" s="1345">
        <v>11797</v>
      </c>
      <c r="F295" s="1343">
        <f t="shared" si="75"/>
        <v>-7365</v>
      </c>
      <c r="G295" s="1351" t="s">
        <v>666</v>
      </c>
      <c r="H295" s="1352">
        <v>4432</v>
      </c>
      <c r="I295" s="1348">
        <f t="shared" si="68"/>
        <v>1</v>
      </c>
      <c r="J295" s="1344">
        <v>64.27</v>
      </c>
    </row>
    <row r="296" spans="1:10" x14ac:dyDescent="0.2">
      <c r="A296" s="9"/>
      <c r="B296" s="9"/>
      <c r="C296" s="10" t="s">
        <v>351</v>
      </c>
      <c r="D296" s="11" t="s">
        <v>352</v>
      </c>
      <c r="E296" s="1345">
        <v>12000</v>
      </c>
      <c r="F296" s="1343">
        <f t="shared" si="75"/>
        <v>4203.92</v>
      </c>
      <c r="G296" s="1351" t="s">
        <v>667</v>
      </c>
      <c r="H296" s="1352">
        <v>15764.38</v>
      </c>
      <c r="I296" s="1348">
        <f t="shared" si="68"/>
        <v>0.97287446494428498</v>
      </c>
      <c r="J296" s="1344">
        <v>0</v>
      </c>
    </row>
    <row r="297" spans="1:10" x14ac:dyDescent="0.2">
      <c r="A297" s="9"/>
      <c r="B297" s="9"/>
      <c r="C297" s="10" t="s">
        <v>573</v>
      </c>
      <c r="D297" s="11" t="s">
        <v>574</v>
      </c>
      <c r="E297" s="1345">
        <v>5000</v>
      </c>
      <c r="F297" s="1343">
        <f t="shared" si="75"/>
        <v>5030.7199999999993</v>
      </c>
      <c r="G297" s="1351" t="s">
        <v>668</v>
      </c>
      <c r="H297" s="1352">
        <v>10030.719999999999</v>
      </c>
      <c r="I297" s="1348">
        <f t="shared" si="68"/>
        <v>1</v>
      </c>
      <c r="J297" s="1344">
        <v>0</v>
      </c>
    </row>
    <row r="298" spans="1:10" x14ac:dyDescent="0.2">
      <c r="A298" s="9"/>
      <c r="B298" s="9"/>
      <c r="C298" s="10" t="s">
        <v>367</v>
      </c>
      <c r="D298" s="11" t="s">
        <v>368</v>
      </c>
      <c r="E298" s="1345">
        <v>10500</v>
      </c>
      <c r="F298" s="1343">
        <f t="shared" si="75"/>
        <v>-9000</v>
      </c>
      <c r="G298" s="1351" t="s">
        <v>79</v>
      </c>
      <c r="H298" s="1352">
        <v>1500</v>
      </c>
      <c r="I298" s="1348">
        <f t="shared" si="68"/>
        <v>1</v>
      </c>
      <c r="J298" s="1344">
        <v>0</v>
      </c>
    </row>
    <row r="299" spans="1:10" x14ac:dyDescent="0.2">
      <c r="A299" s="9"/>
      <c r="B299" s="9"/>
      <c r="C299" s="10" t="s">
        <v>381</v>
      </c>
      <c r="D299" s="11" t="s">
        <v>382</v>
      </c>
      <c r="E299" s="1345">
        <v>2500</v>
      </c>
      <c r="F299" s="1343">
        <f t="shared" si="75"/>
        <v>-2000</v>
      </c>
      <c r="G299" s="1351" t="s">
        <v>255</v>
      </c>
      <c r="H299" s="1352">
        <v>500</v>
      </c>
      <c r="I299" s="1348">
        <f t="shared" si="68"/>
        <v>1</v>
      </c>
      <c r="J299" s="1344">
        <v>0</v>
      </c>
    </row>
    <row r="300" spans="1:10" x14ac:dyDescent="0.2">
      <c r="A300" s="9"/>
      <c r="B300" s="9"/>
      <c r="C300" s="10" t="s">
        <v>354</v>
      </c>
      <c r="D300" s="11" t="s">
        <v>355</v>
      </c>
      <c r="E300" s="1345">
        <v>7000</v>
      </c>
      <c r="F300" s="1343">
        <f t="shared" si="75"/>
        <v>-1000</v>
      </c>
      <c r="G300" s="1351" t="s">
        <v>47</v>
      </c>
      <c r="H300" s="1352">
        <v>6000</v>
      </c>
      <c r="I300" s="1348">
        <f t="shared" si="68"/>
        <v>1</v>
      </c>
      <c r="J300" s="1344">
        <v>0</v>
      </c>
    </row>
    <row r="301" spans="1:10" x14ac:dyDescent="0.2">
      <c r="A301" s="9"/>
      <c r="B301" s="9"/>
      <c r="C301" s="10" t="s">
        <v>475</v>
      </c>
      <c r="D301" s="11" t="s">
        <v>476</v>
      </c>
      <c r="E301" s="1345">
        <v>1500</v>
      </c>
      <c r="F301" s="1343">
        <f t="shared" si="75"/>
        <v>-1500</v>
      </c>
      <c r="G301" s="1351" t="s">
        <v>7</v>
      </c>
      <c r="H301" s="1352">
        <v>0</v>
      </c>
      <c r="I301" s="1348">
        <v>0</v>
      </c>
      <c r="J301" s="1344">
        <v>0</v>
      </c>
    </row>
    <row r="302" spans="1:10" ht="22.5" x14ac:dyDescent="0.2">
      <c r="A302" s="9"/>
      <c r="B302" s="9"/>
      <c r="C302" s="10" t="s">
        <v>489</v>
      </c>
      <c r="D302" s="11" t="s">
        <v>490</v>
      </c>
      <c r="E302" s="1345">
        <v>18147</v>
      </c>
      <c r="F302" s="1343">
        <f t="shared" si="75"/>
        <v>-17827</v>
      </c>
      <c r="G302" s="1351" t="s">
        <v>669</v>
      </c>
      <c r="H302" s="1352">
        <v>320</v>
      </c>
      <c r="I302" s="1348">
        <f t="shared" si="68"/>
        <v>1</v>
      </c>
      <c r="J302" s="1344">
        <v>0</v>
      </c>
    </row>
    <row r="303" spans="1:10" ht="67.5" x14ac:dyDescent="0.2">
      <c r="A303" s="8"/>
      <c r="B303" s="1632" t="s">
        <v>216</v>
      </c>
      <c r="C303" s="1633"/>
      <c r="D303" s="1634" t="s">
        <v>217</v>
      </c>
      <c r="E303" s="1635">
        <f>E304+E305+E306+E307+E308+E309+E310+E311+E312+E313+E314+E315+E316+E317</f>
        <v>533438</v>
      </c>
      <c r="F303" s="1636">
        <f t="shared" ref="F303:J303" si="76">F304+F305+F306+F307+F308+F309+F310+F311+F312+F313+F314+F315+F316+F317</f>
        <v>-20631.22</v>
      </c>
      <c r="G303" s="1637">
        <f t="shared" si="76"/>
        <v>512806.78</v>
      </c>
      <c r="H303" s="1637">
        <f t="shared" si="76"/>
        <v>511748.96</v>
      </c>
      <c r="I303" s="1639">
        <f t="shared" si="68"/>
        <v>0.99793719576016526</v>
      </c>
      <c r="J303" s="1635">
        <f t="shared" si="76"/>
        <v>28935.62</v>
      </c>
    </row>
    <row r="304" spans="1:10" ht="22.5" x14ac:dyDescent="0.2">
      <c r="A304" s="9"/>
      <c r="B304" s="9"/>
      <c r="C304" s="10" t="s">
        <v>599</v>
      </c>
      <c r="D304" s="11" t="s">
        <v>600</v>
      </c>
      <c r="E304" s="1345">
        <v>25641</v>
      </c>
      <c r="F304" s="1343">
        <f>G304-E304</f>
        <v>-8809</v>
      </c>
      <c r="G304" s="1351" t="s">
        <v>670</v>
      </c>
      <c r="H304" s="1352">
        <v>16832</v>
      </c>
      <c r="I304" s="1348">
        <f t="shared" si="68"/>
        <v>1</v>
      </c>
      <c r="J304" s="1344">
        <v>0</v>
      </c>
    </row>
    <row r="305" spans="1:10" x14ac:dyDescent="0.2">
      <c r="A305" s="9"/>
      <c r="B305" s="9"/>
      <c r="C305" s="10" t="s">
        <v>445</v>
      </c>
      <c r="D305" s="11" t="s">
        <v>446</v>
      </c>
      <c r="E305" s="1345">
        <v>12523</v>
      </c>
      <c r="F305" s="1343">
        <f t="shared" ref="F305:F317" si="77">G305-E305</f>
        <v>-7189</v>
      </c>
      <c r="G305" s="1351" t="s">
        <v>671</v>
      </c>
      <c r="H305" s="1352">
        <v>5239.32</v>
      </c>
      <c r="I305" s="1348">
        <f t="shared" si="68"/>
        <v>0.98224971878515177</v>
      </c>
      <c r="J305" s="1344">
        <v>0</v>
      </c>
    </row>
    <row r="306" spans="1:10" x14ac:dyDescent="0.2">
      <c r="A306" s="9"/>
      <c r="B306" s="9"/>
      <c r="C306" s="10" t="s">
        <v>342</v>
      </c>
      <c r="D306" s="11" t="s">
        <v>343</v>
      </c>
      <c r="E306" s="1345">
        <v>336510</v>
      </c>
      <c r="F306" s="1343">
        <f t="shared" si="77"/>
        <v>-5163</v>
      </c>
      <c r="G306" s="1351" t="s">
        <v>672</v>
      </c>
      <c r="H306" s="1352">
        <v>331347</v>
      </c>
      <c r="I306" s="1348">
        <f t="shared" si="68"/>
        <v>1</v>
      </c>
      <c r="J306" s="1344">
        <v>5536.88</v>
      </c>
    </row>
    <row r="307" spans="1:10" x14ac:dyDescent="0.2">
      <c r="A307" s="9"/>
      <c r="B307" s="9"/>
      <c r="C307" s="10" t="s">
        <v>453</v>
      </c>
      <c r="D307" s="11" t="s">
        <v>454</v>
      </c>
      <c r="E307" s="1345">
        <v>28228</v>
      </c>
      <c r="F307" s="1343">
        <f t="shared" si="77"/>
        <v>-10399</v>
      </c>
      <c r="G307" s="1351" t="s">
        <v>673</v>
      </c>
      <c r="H307" s="1352">
        <v>17829</v>
      </c>
      <c r="I307" s="1348">
        <f t="shared" si="68"/>
        <v>1</v>
      </c>
      <c r="J307" s="1344">
        <v>16443</v>
      </c>
    </row>
    <row r="308" spans="1:10" x14ac:dyDescent="0.2">
      <c r="A308" s="9"/>
      <c r="B308" s="9"/>
      <c r="C308" s="10" t="s">
        <v>345</v>
      </c>
      <c r="D308" s="11" t="s">
        <v>346</v>
      </c>
      <c r="E308" s="1345">
        <v>64872</v>
      </c>
      <c r="F308" s="1343">
        <f t="shared" si="77"/>
        <v>4354</v>
      </c>
      <c r="G308" s="1351" t="s">
        <v>674</v>
      </c>
      <c r="H308" s="1352">
        <v>69226</v>
      </c>
      <c r="I308" s="1348">
        <f t="shared" si="68"/>
        <v>1</v>
      </c>
      <c r="J308" s="1344">
        <v>6085.07</v>
      </c>
    </row>
    <row r="309" spans="1:10" x14ac:dyDescent="0.2">
      <c r="A309" s="9"/>
      <c r="B309" s="9"/>
      <c r="C309" s="10" t="s">
        <v>348</v>
      </c>
      <c r="D309" s="11" t="s">
        <v>349</v>
      </c>
      <c r="E309" s="1345">
        <v>9159</v>
      </c>
      <c r="F309" s="1343">
        <f t="shared" si="77"/>
        <v>2730</v>
      </c>
      <c r="G309" s="1351" t="s">
        <v>675</v>
      </c>
      <c r="H309" s="1352">
        <v>11889</v>
      </c>
      <c r="I309" s="1348">
        <f t="shared" si="68"/>
        <v>1</v>
      </c>
      <c r="J309" s="1344">
        <v>870.67</v>
      </c>
    </row>
    <row r="310" spans="1:10" x14ac:dyDescent="0.2">
      <c r="A310" s="9"/>
      <c r="B310" s="9"/>
      <c r="C310" s="10" t="s">
        <v>351</v>
      </c>
      <c r="D310" s="11" t="s">
        <v>352</v>
      </c>
      <c r="E310" s="1345">
        <v>9800</v>
      </c>
      <c r="F310" s="1343">
        <f t="shared" si="77"/>
        <v>-658.96999999999935</v>
      </c>
      <c r="G310" s="1351" t="s">
        <v>676</v>
      </c>
      <c r="H310" s="1691">
        <v>9134.36</v>
      </c>
      <c r="I310" s="1348">
        <f t="shared" si="68"/>
        <v>0.99927032292859774</v>
      </c>
      <c r="J310" s="1344">
        <v>0</v>
      </c>
    </row>
    <row r="311" spans="1:10" x14ac:dyDescent="0.2">
      <c r="A311" s="9"/>
      <c r="B311" s="9"/>
      <c r="C311" s="10" t="s">
        <v>573</v>
      </c>
      <c r="D311" s="11" t="s">
        <v>574</v>
      </c>
      <c r="E311" s="1345">
        <v>4800</v>
      </c>
      <c r="F311" s="1343">
        <f t="shared" si="77"/>
        <v>6503.75</v>
      </c>
      <c r="G311" s="1351" t="s">
        <v>677</v>
      </c>
      <c r="H311" s="1352">
        <v>10347.280000000001</v>
      </c>
      <c r="I311" s="1348">
        <f t="shared" si="68"/>
        <v>0.91538471746101968</v>
      </c>
      <c r="J311" s="1344">
        <v>0</v>
      </c>
    </row>
    <row r="312" spans="1:10" x14ac:dyDescent="0.2">
      <c r="A312" s="9"/>
      <c r="B312" s="9"/>
      <c r="C312" s="10" t="s">
        <v>367</v>
      </c>
      <c r="D312" s="11" t="s">
        <v>368</v>
      </c>
      <c r="E312" s="1345">
        <v>15000</v>
      </c>
      <c r="F312" s="1343">
        <f t="shared" si="77"/>
        <v>-1500</v>
      </c>
      <c r="G312" s="1351" t="s">
        <v>678</v>
      </c>
      <c r="H312" s="1352">
        <v>13500</v>
      </c>
      <c r="I312" s="1348">
        <f t="shared" si="68"/>
        <v>1</v>
      </c>
      <c r="J312" s="1344">
        <v>0</v>
      </c>
    </row>
    <row r="313" spans="1:10" x14ac:dyDescent="0.2">
      <c r="A313" s="9"/>
      <c r="B313" s="9"/>
      <c r="C313" s="10" t="s">
        <v>381</v>
      </c>
      <c r="D313" s="11" t="s">
        <v>382</v>
      </c>
      <c r="E313" s="1345">
        <v>6500</v>
      </c>
      <c r="F313" s="1343">
        <f t="shared" si="77"/>
        <v>-500</v>
      </c>
      <c r="G313" s="1351" t="s">
        <v>47</v>
      </c>
      <c r="H313" s="1352">
        <v>6000</v>
      </c>
      <c r="I313" s="1348">
        <f t="shared" si="68"/>
        <v>1</v>
      </c>
      <c r="J313" s="1344">
        <v>0</v>
      </c>
    </row>
    <row r="314" spans="1:10" x14ac:dyDescent="0.2">
      <c r="A314" s="9"/>
      <c r="B314" s="9"/>
      <c r="C314" s="10" t="s">
        <v>472</v>
      </c>
      <c r="D314" s="11" t="s">
        <v>473</v>
      </c>
      <c r="E314" s="1345">
        <v>800</v>
      </c>
      <c r="F314" s="1343">
        <f t="shared" si="77"/>
        <v>-800</v>
      </c>
      <c r="G314" s="1351" t="s">
        <v>7</v>
      </c>
      <c r="H314" s="1352">
        <v>0</v>
      </c>
      <c r="I314" s="1348">
        <v>0</v>
      </c>
      <c r="J314" s="1344">
        <v>0</v>
      </c>
    </row>
    <row r="315" spans="1:10" x14ac:dyDescent="0.2">
      <c r="A315" s="9"/>
      <c r="B315" s="9"/>
      <c r="C315" s="10" t="s">
        <v>354</v>
      </c>
      <c r="D315" s="11" t="s">
        <v>355</v>
      </c>
      <c r="E315" s="1345">
        <v>5800</v>
      </c>
      <c r="F315" s="1343">
        <f t="shared" si="77"/>
        <v>-1500</v>
      </c>
      <c r="G315" s="1351" t="s">
        <v>679</v>
      </c>
      <c r="H315" s="1352">
        <v>4300</v>
      </c>
      <c r="I315" s="1348">
        <f t="shared" si="68"/>
        <v>1</v>
      </c>
      <c r="J315" s="1344">
        <v>0</v>
      </c>
    </row>
    <row r="316" spans="1:10" x14ac:dyDescent="0.2">
      <c r="A316" s="9"/>
      <c r="B316" s="9"/>
      <c r="C316" s="10" t="s">
        <v>475</v>
      </c>
      <c r="D316" s="11" t="s">
        <v>476</v>
      </c>
      <c r="E316" s="1345">
        <v>1800</v>
      </c>
      <c r="F316" s="1343">
        <f t="shared" si="77"/>
        <v>-1500</v>
      </c>
      <c r="G316" s="1351" t="s">
        <v>370</v>
      </c>
      <c r="H316" s="1352">
        <v>300</v>
      </c>
      <c r="I316" s="1348">
        <f t="shared" si="68"/>
        <v>1</v>
      </c>
      <c r="J316" s="1344">
        <v>0</v>
      </c>
    </row>
    <row r="317" spans="1:10" ht="22.5" x14ac:dyDescent="0.2">
      <c r="A317" s="9"/>
      <c r="B317" s="9"/>
      <c r="C317" s="10" t="s">
        <v>489</v>
      </c>
      <c r="D317" s="11" t="s">
        <v>490</v>
      </c>
      <c r="E317" s="1345">
        <v>12005</v>
      </c>
      <c r="F317" s="1343">
        <f t="shared" si="77"/>
        <v>3800</v>
      </c>
      <c r="G317" s="1351" t="s">
        <v>680</v>
      </c>
      <c r="H317" s="1352">
        <v>15805</v>
      </c>
      <c r="I317" s="1348">
        <f t="shared" si="68"/>
        <v>1</v>
      </c>
      <c r="J317" s="1344">
        <v>0</v>
      </c>
    </row>
    <row r="318" spans="1:10" ht="15" x14ac:dyDescent="0.2">
      <c r="A318" s="8"/>
      <c r="B318" s="1632" t="s">
        <v>219</v>
      </c>
      <c r="C318" s="1633"/>
      <c r="D318" s="1634" t="s">
        <v>14</v>
      </c>
      <c r="E318" s="1635">
        <f>E319+E320+E321+E322+E323+E324+E325+E326+E327+E328+E329+E330+E331+E332+E333+E334+E335+E336+E337+E338+E339+E340+E341+E342</f>
        <v>203205</v>
      </c>
      <c r="F318" s="1636">
        <f t="shared" ref="F318:J318" si="78">F319+F320+F321+F322+F323+F324+F325+F326+F327+F328+F329+F330+F331+F332+F333+F334+F335+F336+F337+F338+F339+F340+F341+F342</f>
        <v>844043.3600000001</v>
      </c>
      <c r="G318" s="1637">
        <f t="shared" si="78"/>
        <v>1047248.3600000001</v>
      </c>
      <c r="H318" s="1637">
        <f t="shared" si="78"/>
        <v>398809.21</v>
      </c>
      <c r="I318" s="1639">
        <f t="shared" si="68"/>
        <v>0.38081626597152179</v>
      </c>
      <c r="J318" s="1635">
        <f t="shared" si="78"/>
        <v>2212.2800000000002</v>
      </c>
    </row>
    <row r="319" spans="1:10" ht="78.75" x14ac:dyDescent="0.2">
      <c r="A319" s="9"/>
      <c r="B319" s="9"/>
      <c r="C319" s="10" t="s">
        <v>221</v>
      </c>
      <c r="D319" s="11" t="s">
        <v>681</v>
      </c>
      <c r="E319" s="1345">
        <v>0</v>
      </c>
      <c r="F319" s="1343">
        <f>G319-E319</f>
        <v>170161.2</v>
      </c>
      <c r="G319" s="1351" t="s">
        <v>223</v>
      </c>
      <c r="H319" s="1352">
        <v>102000</v>
      </c>
      <c r="I319" s="1348">
        <f t="shared" si="68"/>
        <v>0.59943159780255428</v>
      </c>
      <c r="J319" s="1344">
        <v>0</v>
      </c>
    </row>
    <row r="320" spans="1:10" ht="78.75" x14ac:dyDescent="0.2">
      <c r="A320" s="9"/>
      <c r="B320" s="9"/>
      <c r="C320" s="10" t="s">
        <v>224</v>
      </c>
      <c r="D320" s="11" t="s">
        <v>681</v>
      </c>
      <c r="E320" s="1345">
        <v>0</v>
      </c>
      <c r="F320" s="1343">
        <f t="shared" ref="F320:F342" si="79">G320-E320</f>
        <v>19838.8</v>
      </c>
      <c r="G320" s="1351" t="s">
        <v>225</v>
      </c>
      <c r="H320" s="1352">
        <v>0</v>
      </c>
      <c r="I320" s="1348">
        <f t="shared" si="68"/>
        <v>0</v>
      </c>
      <c r="J320" s="1344">
        <v>0</v>
      </c>
    </row>
    <row r="321" spans="1:10" ht="56.25" x14ac:dyDescent="0.2">
      <c r="A321" s="9"/>
      <c r="B321" s="9"/>
      <c r="C321" s="10" t="s">
        <v>263</v>
      </c>
      <c r="D321" s="11" t="s">
        <v>547</v>
      </c>
      <c r="E321" s="1345">
        <v>16500</v>
      </c>
      <c r="F321" s="1343">
        <f t="shared" si="79"/>
        <v>10000</v>
      </c>
      <c r="G321" s="1351" t="s">
        <v>682</v>
      </c>
      <c r="H321" s="1352">
        <v>26500</v>
      </c>
      <c r="I321" s="1348">
        <f t="shared" si="68"/>
        <v>1</v>
      </c>
      <c r="J321" s="1344">
        <v>0</v>
      </c>
    </row>
    <row r="322" spans="1:10" x14ac:dyDescent="0.2">
      <c r="A322" s="9"/>
      <c r="B322" s="9"/>
      <c r="C322" s="10" t="s">
        <v>683</v>
      </c>
      <c r="D322" s="11" t="s">
        <v>684</v>
      </c>
      <c r="E322" s="1345">
        <v>0</v>
      </c>
      <c r="F322" s="1343">
        <f t="shared" si="79"/>
        <v>26867.56</v>
      </c>
      <c r="G322" s="1351" t="s">
        <v>685</v>
      </c>
      <c r="H322" s="1352">
        <v>0</v>
      </c>
      <c r="I322" s="1348">
        <f t="shared" si="68"/>
        <v>0</v>
      </c>
      <c r="J322" s="1344">
        <v>0</v>
      </c>
    </row>
    <row r="323" spans="1:10" x14ac:dyDescent="0.2">
      <c r="A323" s="9"/>
      <c r="B323" s="9"/>
      <c r="C323" s="10" t="s">
        <v>686</v>
      </c>
      <c r="D323" s="11" t="s">
        <v>684</v>
      </c>
      <c r="E323" s="1345">
        <v>0</v>
      </c>
      <c r="F323" s="1343">
        <f t="shared" si="79"/>
        <v>3132.44</v>
      </c>
      <c r="G323" s="1351" t="s">
        <v>687</v>
      </c>
      <c r="H323" s="1352">
        <v>0</v>
      </c>
      <c r="I323" s="1348">
        <f t="shared" si="68"/>
        <v>0</v>
      </c>
      <c r="J323" s="1344">
        <v>0</v>
      </c>
    </row>
    <row r="324" spans="1:10" x14ac:dyDescent="0.2">
      <c r="A324" s="9"/>
      <c r="B324" s="9"/>
      <c r="C324" s="10" t="s">
        <v>688</v>
      </c>
      <c r="D324" s="11" t="s">
        <v>343</v>
      </c>
      <c r="E324" s="1345">
        <v>0</v>
      </c>
      <c r="F324" s="1343">
        <f t="shared" si="79"/>
        <v>104094.06</v>
      </c>
      <c r="G324" s="1351" t="s">
        <v>689</v>
      </c>
      <c r="H324" s="1352">
        <v>55422.51</v>
      </c>
      <c r="I324" s="1348">
        <f t="shared" si="68"/>
        <v>0.53242721054400222</v>
      </c>
      <c r="J324" s="1344">
        <v>1791.2</v>
      </c>
    </row>
    <row r="325" spans="1:10" x14ac:dyDescent="0.2">
      <c r="A325" s="9"/>
      <c r="B325" s="9"/>
      <c r="C325" s="10" t="s">
        <v>451</v>
      </c>
      <c r="D325" s="11" t="s">
        <v>343</v>
      </c>
      <c r="E325" s="1345">
        <v>0</v>
      </c>
      <c r="F325" s="1343">
        <f t="shared" si="79"/>
        <v>12136.14</v>
      </c>
      <c r="G325" s="1351" t="s">
        <v>690</v>
      </c>
      <c r="H325" s="1352">
        <v>6460.59</v>
      </c>
      <c r="I325" s="1348">
        <f t="shared" si="68"/>
        <v>0.53234306789473429</v>
      </c>
      <c r="J325" s="1344">
        <v>208.8</v>
      </c>
    </row>
    <row r="326" spans="1:10" x14ac:dyDescent="0.2">
      <c r="A326" s="9"/>
      <c r="B326" s="9"/>
      <c r="C326" s="10" t="s">
        <v>691</v>
      </c>
      <c r="D326" s="11" t="s">
        <v>346</v>
      </c>
      <c r="E326" s="1345">
        <v>0</v>
      </c>
      <c r="F326" s="1343">
        <f t="shared" si="79"/>
        <v>17841.990000000002</v>
      </c>
      <c r="G326" s="1351" t="s">
        <v>692</v>
      </c>
      <c r="H326" s="1352">
        <v>9503.48</v>
      </c>
      <c r="I326" s="1348">
        <f t="shared" si="68"/>
        <v>0.53264686282191609</v>
      </c>
      <c r="J326" s="1344">
        <v>163.79</v>
      </c>
    </row>
    <row r="327" spans="1:10" x14ac:dyDescent="0.2">
      <c r="A327" s="9"/>
      <c r="B327" s="9"/>
      <c r="C327" s="10" t="s">
        <v>459</v>
      </c>
      <c r="D327" s="11" t="s">
        <v>346</v>
      </c>
      <c r="E327" s="1345">
        <v>0</v>
      </c>
      <c r="F327" s="1343">
        <f t="shared" si="79"/>
        <v>2080.17</v>
      </c>
      <c r="G327" s="1351" t="s">
        <v>693</v>
      </c>
      <c r="H327" s="1352">
        <v>1107.83</v>
      </c>
      <c r="I327" s="1348">
        <f t="shared" ref="I327:I390" si="80">H327/G327</f>
        <v>0.53256704980842906</v>
      </c>
      <c r="J327" s="1344">
        <v>19.09</v>
      </c>
    </row>
    <row r="328" spans="1:10" x14ac:dyDescent="0.2">
      <c r="A328" s="9"/>
      <c r="B328" s="9"/>
      <c r="C328" s="10" t="s">
        <v>694</v>
      </c>
      <c r="D328" s="11" t="s">
        <v>349</v>
      </c>
      <c r="E328" s="1345">
        <v>0</v>
      </c>
      <c r="F328" s="1343">
        <f t="shared" si="79"/>
        <v>2550.3000000000002</v>
      </c>
      <c r="G328" s="1351" t="s">
        <v>695</v>
      </c>
      <c r="H328" s="1352">
        <v>1118.04</v>
      </c>
      <c r="I328" s="1348">
        <f t="shared" si="80"/>
        <v>0.43839548288436647</v>
      </c>
      <c r="J328" s="1344">
        <v>26.33</v>
      </c>
    </row>
    <row r="329" spans="1:10" x14ac:dyDescent="0.2">
      <c r="A329" s="9"/>
      <c r="B329" s="9"/>
      <c r="C329" s="10" t="s">
        <v>464</v>
      </c>
      <c r="D329" s="11" t="s">
        <v>349</v>
      </c>
      <c r="E329" s="1345">
        <v>0</v>
      </c>
      <c r="F329" s="1343">
        <f t="shared" si="79"/>
        <v>297.33999999999997</v>
      </c>
      <c r="G329" s="1351" t="s">
        <v>696</v>
      </c>
      <c r="H329" s="1352">
        <v>130.34</v>
      </c>
      <c r="I329" s="1348">
        <f t="shared" si="80"/>
        <v>0.4383534001479788</v>
      </c>
      <c r="J329" s="1344">
        <v>3.07</v>
      </c>
    </row>
    <row r="330" spans="1:10" x14ac:dyDescent="0.2">
      <c r="A330" s="9"/>
      <c r="B330" s="9"/>
      <c r="C330" s="10" t="s">
        <v>351</v>
      </c>
      <c r="D330" s="11" t="s">
        <v>352</v>
      </c>
      <c r="E330" s="1345">
        <v>5500</v>
      </c>
      <c r="F330" s="1343">
        <f t="shared" si="79"/>
        <v>10000</v>
      </c>
      <c r="G330" s="1351" t="s">
        <v>697</v>
      </c>
      <c r="H330" s="1352">
        <v>15361.42</v>
      </c>
      <c r="I330" s="1348">
        <f t="shared" si="80"/>
        <v>0.99105935483870966</v>
      </c>
      <c r="J330" s="1344">
        <v>0</v>
      </c>
    </row>
    <row r="331" spans="1:10" x14ac:dyDescent="0.2">
      <c r="A331" s="9"/>
      <c r="B331" s="9"/>
      <c r="C331" s="10" t="s">
        <v>698</v>
      </c>
      <c r="D331" s="11" t="s">
        <v>352</v>
      </c>
      <c r="E331" s="1345">
        <v>0</v>
      </c>
      <c r="F331" s="1343">
        <f t="shared" si="79"/>
        <v>23106.1</v>
      </c>
      <c r="G331" s="1351" t="s">
        <v>699</v>
      </c>
      <c r="H331" s="1352">
        <v>0</v>
      </c>
      <c r="I331" s="1348">
        <f t="shared" si="80"/>
        <v>0</v>
      </c>
      <c r="J331" s="1344">
        <v>0</v>
      </c>
    </row>
    <row r="332" spans="1:10" x14ac:dyDescent="0.2">
      <c r="A332" s="9"/>
      <c r="B332" s="9"/>
      <c r="C332" s="10" t="s">
        <v>700</v>
      </c>
      <c r="D332" s="11" t="s">
        <v>352</v>
      </c>
      <c r="E332" s="1345">
        <v>0</v>
      </c>
      <c r="F332" s="1343">
        <f t="shared" si="79"/>
        <v>2693.9</v>
      </c>
      <c r="G332" s="1351" t="s">
        <v>701</v>
      </c>
      <c r="H332" s="1352">
        <v>0</v>
      </c>
      <c r="I332" s="1348">
        <f t="shared" si="80"/>
        <v>0</v>
      </c>
      <c r="J332" s="1344">
        <v>0</v>
      </c>
    </row>
    <row r="333" spans="1:10" x14ac:dyDescent="0.2">
      <c r="A333" s="9"/>
      <c r="B333" s="9"/>
      <c r="C333" s="10" t="s">
        <v>702</v>
      </c>
      <c r="D333" s="11" t="s">
        <v>574</v>
      </c>
      <c r="E333" s="1345">
        <v>0</v>
      </c>
      <c r="F333" s="1343">
        <f t="shared" si="79"/>
        <v>261795.07</v>
      </c>
      <c r="G333" s="1351" t="s">
        <v>703</v>
      </c>
      <c r="H333" s="1352">
        <v>0</v>
      </c>
      <c r="I333" s="1348">
        <f t="shared" si="80"/>
        <v>0</v>
      </c>
      <c r="J333" s="1344">
        <v>0</v>
      </c>
    </row>
    <row r="334" spans="1:10" x14ac:dyDescent="0.2">
      <c r="A334" s="9"/>
      <c r="B334" s="9"/>
      <c r="C334" s="10" t="s">
        <v>704</v>
      </c>
      <c r="D334" s="11" t="s">
        <v>574</v>
      </c>
      <c r="E334" s="1345">
        <v>0</v>
      </c>
      <c r="F334" s="1343">
        <f t="shared" si="79"/>
        <v>30522.23</v>
      </c>
      <c r="G334" s="1351" t="s">
        <v>705</v>
      </c>
      <c r="H334" s="1352">
        <v>0</v>
      </c>
      <c r="I334" s="1348">
        <f t="shared" si="80"/>
        <v>0</v>
      </c>
      <c r="J334" s="1344">
        <v>0</v>
      </c>
    </row>
    <row r="335" spans="1:10" x14ac:dyDescent="0.2">
      <c r="A335" s="9"/>
      <c r="B335" s="9"/>
      <c r="C335" s="10" t="s">
        <v>354</v>
      </c>
      <c r="D335" s="11" t="s">
        <v>355</v>
      </c>
      <c r="E335" s="1345">
        <v>9000</v>
      </c>
      <c r="F335" s="1343">
        <f t="shared" si="79"/>
        <v>0</v>
      </c>
      <c r="G335" s="1351" t="s">
        <v>393</v>
      </c>
      <c r="H335" s="1352">
        <v>9000</v>
      </c>
      <c r="I335" s="1348">
        <f t="shared" si="80"/>
        <v>1</v>
      </c>
      <c r="J335" s="1344">
        <v>0</v>
      </c>
    </row>
    <row r="336" spans="1:10" x14ac:dyDescent="0.2">
      <c r="A336" s="9"/>
      <c r="B336" s="9"/>
      <c r="C336" s="10" t="s">
        <v>706</v>
      </c>
      <c r="D336" s="11" t="s">
        <v>355</v>
      </c>
      <c r="E336" s="1345">
        <v>0</v>
      </c>
      <c r="F336" s="1343">
        <f t="shared" si="79"/>
        <v>121381.8</v>
      </c>
      <c r="G336" s="1351" t="s">
        <v>707</v>
      </c>
      <c r="H336" s="1352">
        <v>0</v>
      </c>
      <c r="I336" s="1348">
        <f t="shared" si="80"/>
        <v>0</v>
      </c>
      <c r="J336" s="1344">
        <v>0</v>
      </c>
    </row>
    <row r="337" spans="1:10" x14ac:dyDescent="0.2">
      <c r="A337" s="9"/>
      <c r="B337" s="9"/>
      <c r="C337" s="10" t="s">
        <v>408</v>
      </c>
      <c r="D337" s="11" t="s">
        <v>355</v>
      </c>
      <c r="E337" s="1345">
        <v>0</v>
      </c>
      <c r="F337" s="1343">
        <f t="shared" si="79"/>
        <v>14144.26</v>
      </c>
      <c r="G337" s="1351" t="s">
        <v>708</v>
      </c>
      <c r="H337" s="1352">
        <v>0</v>
      </c>
      <c r="I337" s="1348">
        <f t="shared" si="80"/>
        <v>0</v>
      </c>
      <c r="J337" s="1344">
        <v>0</v>
      </c>
    </row>
    <row r="338" spans="1:10" ht="22.5" x14ac:dyDescent="0.2">
      <c r="A338" s="9"/>
      <c r="B338" s="9"/>
      <c r="C338" s="10" t="s">
        <v>489</v>
      </c>
      <c r="D338" s="11" t="s">
        <v>490</v>
      </c>
      <c r="E338" s="1345">
        <v>172205</v>
      </c>
      <c r="F338" s="1343">
        <f t="shared" si="79"/>
        <v>0</v>
      </c>
      <c r="G338" s="1351" t="s">
        <v>709</v>
      </c>
      <c r="H338" s="1352">
        <v>172205</v>
      </c>
      <c r="I338" s="1348">
        <f t="shared" si="80"/>
        <v>1</v>
      </c>
      <c r="J338" s="1344">
        <v>0</v>
      </c>
    </row>
    <row r="339" spans="1:10" ht="22.5" x14ac:dyDescent="0.2">
      <c r="A339" s="9"/>
      <c r="B339" s="9"/>
      <c r="C339" s="10" t="s">
        <v>710</v>
      </c>
      <c r="D339" s="11" t="s">
        <v>434</v>
      </c>
      <c r="E339" s="1345">
        <v>0</v>
      </c>
      <c r="F339" s="1343">
        <f t="shared" si="79"/>
        <v>0</v>
      </c>
      <c r="G339" s="1351" t="s">
        <v>7</v>
      </c>
      <c r="H339" s="1352">
        <v>0</v>
      </c>
      <c r="I339" s="1348">
        <v>0</v>
      </c>
      <c r="J339" s="1344">
        <v>0</v>
      </c>
    </row>
    <row r="340" spans="1:10" ht="22.5" x14ac:dyDescent="0.2">
      <c r="A340" s="9"/>
      <c r="B340" s="9"/>
      <c r="C340" s="10" t="s">
        <v>711</v>
      </c>
      <c r="D340" s="11" t="s">
        <v>434</v>
      </c>
      <c r="E340" s="1345">
        <v>0</v>
      </c>
      <c r="F340" s="1343">
        <f t="shared" si="79"/>
        <v>0</v>
      </c>
      <c r="G340" s="1351" t="s">
        <v>7</v>
      </c>
      <c r="H340" s="1352">
        <v>0</v>
      </c>
      <c r="I340" s="1348">
        <v>0</v>
      </c>
      <c r="J340" s="1344">
        <v>0</v>
      </c>
    </row>
    <row r="341" spans="1:10" ht="22.5" x14ac:dyDescent="0.2">
      <c r="A341" s="9"/>
      <c r="B341" s="9"/>
      <c r="C341" s="10" t="s">
        <v>712</v>
      </c>
      <c r="D341" s="11" t="s">
        <v>396</v>
      </c>
      <c r="E341" s="1345">
        <v>0</v>
      </c>
      <c r="F341" s="1343">
        <f t="shared" si="79"/>
        <v>10209.76</v>
      </c>
      <c r="G341" s="1351" t="s">
        <v>231</v>
      </c>
      <c r="H341" s="1352">
        <v>0</v>
      </c>
      <c r="I341" s="1348">
        <f t="shared" si="80"/>
        <v>0</v>
      </c>
      <c r="J341" s="1344">
        <v>0</v>
      </c>
    </row>
    <row r="342" spans="1:10" ht="22.5" x14ac:dyDescent="0.2">
      <c r="A342" s="9"/>
      <c r="B342" s="9"/>
      <c r="C342" s="10" t="s">
        <v>713</v>
      </c>
      <c r="D342" s="11" t="s">
        <v>396</v>
      </c>
      <c r="E342" s="1345">
        <v>0</v>
      </c>
      <c r="F342" s="1343">
        <f t="shared" si="79"/>
        <v>1190.24</v>
      </c>
      <c r="G342" s="1351" t="s">
        <v>233</v>
      </c>
      <c r="H342" s="1352">
        <v>0</v>
      </c>
      <c r="I342" s="1348">
        <f t="shared" si="80"/>
        <v>0</v>
      </c>
      <c r="J342" s="1344">
        <v>0</v>
      </c>
    </row>
    <row r="343" spans="1:10" x14ac:dyDescent="0.2">
      <c r="A343" s="1640" t="s">
        <v>714</v>
      </c>
      <c r="B343" s="1640"/>
      <c r="C343" s="1640"/>
      <c r="D343" s="1641" t="s">
        <v>715</v>
      </c>
      <c r="E343" s="1642">
        <f>E344+E346+E350+E363</f>
        <v>312000</v>
      </c>
      <c r="F343" s="1643">
        <f t="shared" ref="F343:J343" si="81">F344+F346+F350+F363</f>
        <v>79844</v>
      </c>
      <c r="G343" s="1644">
        <f t="shared" si="81"/>
        <v>391844</v>
      </c>
      <c r="H343" s="1644">
        <f t="shared" si="81"/>
        <v>328855.36000000004</v>
      </c>
      <c r="I343" s="1645">
        <f t="shared" si="80"/>
        <v>0.83925072222619213</v>
      </c>
      <c r="J343" s="1642">
        <f t="shared" si="81"/>
        <v>1171.6500000000001</v>
      </c>
    </row>
    <row r="344" spans="1:10" ht="15" x14ac:dyDescent="0.2">
      <c r="A344" s="8"/>
      <c r="B344" s="1632" t="s">
        <v>716</v>
      </c>
      <c r="C344" s="1633"/>
      <c r="D344" s="1634" t="s">
        <v>717</v>
      </c>
      <c r="E344" s="1635">
        <f>E345</f>
        <v>0</v>
      </c>
      <c r="F344" s="1636">
        <f t="shared" ref="F344:J344" si="82">F345</f>
        <v>25000</v>
      </c>
      <c r="G344" s="1637" t="str">
        <f t="shared" si="82"/>
        <v>25 000,00</v>
      </c>
      <c r="H344" s="1637">
        <f t="shared" si="82"/>
        <v>25000</v>
      </c>
      <c r="I344" s="1639">
        <f t="shared" si="80"/>
        <v>1</v>
      </c>
      <c r="J344" s="1635">
        <f t="shared" si="82"/>
        <v>0</v>
      </c>
    </row>
    <row r="345" spans="1:10" ht="45" x14ac:dyDescent="0.2">
      <c r="A345" s="9"/>
      <c r="B345" s="9"/>
      <c r="C345" s="10" t="s">
        <v>718</v>
      </c>
      <c r="D345" s="11" t="s">
        <v>719</v>
      </c>
      <c r="E345" s="1345">
        <v>0</v>
      </c>
      <c r="F345" s="1343">
        <f>G345-E345</f>
        <v>25000</v>
      </c>
      <c r="G345" s="1351" t="s">
        <v>23</v>
      </c>
      <c r="H345" s="1352">
        <v>25000</v>
      </c>
      <c r="I345" s="1348">
        <f t="shared" si="80"/>
        <v>1</v>
      </c>
      <c r="J345" s="1344">
        <v>0</v>
      </c>
    </row>
    <row r="346" spans="1:10" ht="15" x14ac:dyDescent="0.2">
      <c r="A346" s="8"/>
      <c r="B346" s="1632" t="s">
        <v>720</v>
      </c>
      <c r="C346" s="1633"/>
      <c r="D346" s="1634" t="s">
        <v>721</v>
      </c>
      <c r="E346" s="1635">
        <f>E347+E348+E349</f>
        <v>8400</v>
      </c>
      <c r="F346" s="1636">
        <f t="shared" ref="F346:J346" si="83">F347+F348+F349</f>
        <v>0</v>
      </c>
      <c r="G346" s="1637">
        <f t="shared" si="83"/>
        <v>8400</v>
      </c>
      <c r="H346" s="1637">
        <f t="shared" si="83"/>
        <v>3400</v>
      </c>
      <c r="I346" s="1639">
        <f t="shared" si="80"/>
        <v>0.40476190476190477</v>
      </c>
      <c r="J346" s="1635">
        <f t="shared" si="83"/>
        <v>0</v>
      </c>
    </row>
    <row r="347" spans="1:10" x14ac:dyDescent="0.2">
      <c r="A347" s="9"/>
      <c r="B347" s="9"/>
      <c r="C347" s="10" t="s">
        <v>363</v>
      </c>
      <c r="D347" s="11" t="s">
        <v>364</v>
      </c>
      <c r="E347" s="1345">
        <v>2400</v>
      </c>
      <c r="F347" s="1343">
        <f>G347-E347</f>
        <v>0</v>
      </c>
      <c r="G347" s="1351" t="s">
        <v>722</v>
      </c>
      <c r="H347" s="1352">
        <v>2400</v>
      </c>
      <c r="I347" s="1348">
        <f t="shared" si="80"/>
        <v>1</v>
      </c>
      <c r="J347" s="1344">
        <v>0</v>
      </c>
    </row>
    <row r="348" spans="1:10" x14ac:dyDescent="0.2">
      <c r="A348" s="9"/>
      <c r="B348" s="9"/>
      <c r="C348" s="10" t="s">
        <v>351</v>
      </c>
      <c r="D348" s="11" t="s">
        <v>352</v>
      </c>
      <c r="E348" s="1345">
        <v>1000</v>
      </c>
      <c r="F348" s="1343">
        <f t="shared" ref="F348:F349" si="84">G348-E348</f>
        <v>0</v>
      </c>
      <c r="G348" s="1351" t="s">
        <v>95</v>
      </c>
      <c r="H348" s="1352">
        <v>1000</v>
      </c>
      <c r="I348" s="1348">
        <f t="shared" si="80"/>
        <v>1</v>
      </c>
      <c r="J348" s="1344">
        <v>0</v>
      </c>
    </row>
    <row r="349" spans="1:10" x14ac:dyDescent="0.2">
      <c r="A349" s="9"/>
      <c r="B349" s="9"/>
      <c r="C349" s="10" t="s">
        <v>354</v>
      </c>
      <c r="D349" s="11" t="s">
        <v>355</v>
      </c>
      <c r="E349" s="1345">
        <v>5000</v>
      </c>
      <c r="F349" s="1343">
        <f t="shared" si="84"/>
        <v>0</v>
      </c>
      <c r="G349" s="1351" t="s">
        <v>588</v>
      </c>
      <c r="H349" s="1352">
        <v>0</v>
      </c>
      <c r="I349" s="1348">
        <f t="shared" si="80"/>
        <v>0</v>
      </c>
      <c r="J349" s="1344">
        <v>0</v>
      </c>
    </row>
    <row r="350" spans="1:10" ht="15" x14ac:dyDescent="0.2">
      <c r="A350" s="8"/>
      <c r="B350" s="1632" t="s">
        <v>723</v>
      </c>
      <c r="C350" s="1633"/>
      <c r="D350" s="1634" t="s">
        <v>724</v>
      </c>
      <c r="E350" s="1635">
        <f>E351+E352+E353+E354+E355+E356+E357+E358+E359+E360+E361+E362</f>
        <v>291600</v>
      </c>
      <c r="F350" s="1636">
        <f t="shared" ref="F350:J350" si="85">F351+F352+F353+F354+F355+F356+F357+F358+F359+F360+F361+F362</f>
        <v>54844</v>
      </c>
      <c r="G350" s="1637">
        <f t="shared" si="85"/>
        <v>346444</v>
      </c>
      <c r="H350" s="1637">
        <f t="shared" si="85"/>
        <v>290105.36000000004</v>
      </c>
      <c r="I350" s="1639">
        <f t="shared" si="80"/>
        <v>0.83738024038517056</v>
      </c>
      <c r="J350" s="1635">
        <f t="shared" si="85"/>
        <v>1171.6500000000001</v>
      </c>
    </row>
    <row r="351" spans="1:10" ht="56.25" x14ac:dyDescent="0.2">
      <c r="A351" s="9"/>
      <c r="B351" s="9"/>
      <c r="C351" s="10" t="s">
        <v>263</v>
      </c>
      <c r="D351" s="11" t="s">
        <v>547</v>
      </c>
      <c r="E351" s="1345">
        <v>38000</v>
      </c>
      <c r="F351" s="1343">
        <f>G351-E351</f>
        <v>10000</v>
      </c>
      <c r="G351" s="1351" t="s">
        <v>616</v>
      </c>
      <c r="H351" s="1352">
        <v>43335</v>
      </c>
      <c r="I351" s="1348">
        <f t="shared" si="80"/>
        <v>0.90281250000000002</v>
      </c>
      <c r="J351" s="1344">
        <v>0</v>
      </c>
    </row>
    <row r="352" spans="1:10" ht="33.75" x14ac:dyDescent="0.2">
      <c r="A352" s="9"/>
      <c r="B352" s="9"/>
      <c r="C352" s="10" t="s">
        <v>725</v>
      </c>
      <c r="D352" s="11" t="s">
        <v>726</v>
      </c>
      <c r="E352" s="1345">
        <v>20000</v>
      </c>
      <c r="F352" s="1343">
        <f t="shared" ref="F352:F362" si="86">G352-E352</f>
        <v>-6090</v>
      </c>
      <c r="G352" s="1351" t="s">
        <v>727</v>
      </c>
      <c r="H352" s="1352">
        <v>13910</v>
      </c>
      <c r="I352" s="1348">
        <f t="shared" si="80"/>
        <v>1</v>
      </c>
      <c r="J352" s="1344">
        <v>0</v>
      </c>
    </row>
    <row r="353" spans="1:10" x14ac:dyDescent="0.2">
      <c r="A353" s="9"/>
      <c r="B353" s="9"/>
      <c r="C353" s="10" t="s">
        <v>345</v>
      </c>
      <c r="D353" s="11" t="s">
        <v>346</v>
      </c>
      <c r="E353" s="1345">
        <v>3863</v>
      </c>
      <c r="F353" s="1343">
        <f t="shared" si="86"/>
        <v>1021</v>
      </c>
      <c r="G353" s="1351" t="s">
        <v>728</v>
      </c>
      <c r="H353" s="1352">
        <v>3601.34</v>
      </c>
      <c r="I353" s="1348">
        <f t="shared" si="80"/>
        <v>0.7373751023751024</v>
      </c>
      <c r="J353" s="1344">
        <v>0</v>
      </c>
    </row>
    <row r="354" spans="1:10" x14ac:dyDescent="0.2">
      <c r="A354" s="9"/>
      <c r="B354" s="9"/>
      <c r="C354" s="10" t="s">
        <v>348</v>
      </c>
      <c r="D354" s="11" t="s">
        <v>349</v>
      </c>
      <c r="E354" s="1345">
        <v>341</v>
      </c>
      <c r="F354" s="1343">
        <f t="shared" si="86"/>
        <v>200</v>
      </c>
      <c r="G354" s="1351" t="s">
        <v>729</v>
      </c>
      <c r="H354" s="1352">
        <v>343.08</v>
      </c>
      <c r="I354" s="1348">
        <f t="shared" si="80"/>
        <v>0.63415896487985213</v>
      </c>
      <c r="J354" s="1344">
        <v>0</v>
      </c>
    </row>
    <row r="355" spans="1:10" x14ac:dyDescent="0.2">
      <c r="A355" s="9"/>
      <c r="B355" s="9"/>
      <c r="C355" s="10" t="s">
        <v>363</v>
      </c>
      <c r="D355" s="11" t="s">
        <v>364</v>
      </c>
      <c r="E355" s="1345">
        <v>125760</v>
      </c>
      <c r="F355" s="1343">
        <f t="shared" si="86"/>
        <v>5800</v>
      </c>
      <c r="G355" s="1351" t="s">
        <v>730</v>
      </c>
      <c r="H355" s="1691">
        <v>124116.08</v>
      </c>
      <c r="I355" s="1348">
        <f t="shared" si="80"/>
        <v>0.94341806020066887</v>
      </c>
      <c r="J355" s="1344">
        <v>0</v>
      </c>
    </row>
    <row r="356" spans="1:10" x14ac:dyDescent="0.2">
      <c r="A356" s="9"/>
      <c r="B356" s="9"/>
      <c r="C356" s="10" t="s">
        <v>351</v>
      </c>
      <c r="D356" s="11" t="s">
        <v>352</v>
      </c>
      <c r="E356" s="1345">
        <v>22600</v>
      </c>
      <c r="F356" s="1343">
        <f t="shared" si="86"/>
        <v>7679</v>
      </c>
      <c r="G356" s="1351" t="s">
        <v>731</v>
      </c>
      <c r="H356" s="1691">
        <v>13669.13</v>
      </c>
      <c r="I356" s="1348">
        <f t="shared" si="80"/>
        <v>0.45143928135011063</v>
      </c>
      <c r="J356" s="1344">
        <v>0</v>
      </c>
    </row>
    <row r="357" spans="1:10" x14ac:dyDescent="0.2">
      <c r="A357" s="9"/>
      <c r="B357" s="9"/>
      <c r="C357" s="10" t="s">
        <v>367</v>
      </c>
      <c r="D357" s="11" t="s">
        <v>368</v>
      </c>
      <c r="E357" s="1345">
        <v>13000</v>
      </c>
      <c r="F357" s="1343">
        <f t="shared" si="86"/>
        <v>2000</v>
      </c>
      <c r="G357" s="1351" t="s">
        <v>29</v>
      </c>
      <c r="H357" s="1691">
        <v>9431.77</v>
      </c>
      <c r="I357" s="1348">
        <f t="shared" si="80"/>
        <v>0.62878466666666666</v>
      </c>
      <c r="J357" s="1344">
        <v>930.42</v>
      </c>
    </row>
    <row r="358" spans="1:10" x14ac:dyDescent="0.2">
      <c r="A358" s="9"/>
      <c r="B358" s="9"/>
      <c r="C358" s="10" t="s">
        <v>381</v>
      </c>
      <c r="D358" s="11" t="s">
        <v>382</v>
      </c>
      <c r="E358" s="1345">
        <v>2000</v>
      </c>
      <c r="F358" s="1343">
        <f t="shared" si="86"/>
        <v>0</v>
      </c>
      <c r="G358" s="1351" t="s">
        <v>126</v>
      </c>
      <c r="H358" s="1691">
        <v>0</v>
      </c>
      <c r="I358" s="1348">
        <f t="shared" si="80"/>
        <v>0</v>
      </c>
      <c r="J358" s="1344">
        <v>0</v>
      </c>
    </row>
    <row r="359" spans="1:10" x14ac:dyDescent="0.2">
      <c r="A359" s="9"/>
      <c r="B359" s="9"/>
      <c r="C359" s="10" t="s">
        <v>354</v>
      </c>
      <c r="D359" s="11" t="s">
        <v>355</v>
      </c>
      <c r="E359" s="1345">
        <v>63848</v>
      </c>
      <c r="F359" s="1343">
        <f t="shared" si="86"/>
        <v>31390</v>
      </c>
      <c r="G359" s="1351" t="s">
        <v>732</v>
      </c>
      <c r="H359" s="1691">
        <v>78438.8</v>
      </c>
      <c r="I359" s="1348">
        <f t="shared" si="80"/>
        <v>0.82360822360822361</v>
      </c>
      <c r="J359" s="1344">
        <v>240</v>
      </c>
    </row>
    <row r="360" spans="1:10" x14ac:dyDescent="0.2">
      <c r="A360" s="9"/>
      <c r="B360" s="9"/>
      <c r="C360" s="10" t="s">
        <v>475</v>
      </c>
      <c r="D360" s="11" t="s">
        <v>476</v>
      </c>
      <c r="E360" s="1345">
        <v>2000</v>
      </c>
      <c r="F360" s="1343">
        <f t="shared" si="86"/>
        <v>0</v>
      </c>
      <c r="G360" s="1351" t="s">
        <v>126</v>
      </c>
      <c r="H360" s="1691">
        <v>1971.96</v>
      </c>
      <c r="I360" s="1348">
        <f t="shared" si="80"/>
        <v>0.98597999999999997</v>
      </c>
      <c r="J360" s="1344">
        <v>1.23</v>
      </c>
    </row>
    <row r="361" spans="1:10" x14ac:dyDescent="0.2">
      <c r="A361" s="9"/>
      <c r="B361" s="9"/>
      <c r="C361" s="10" t="s">
        <v>484</v>
      </c>
      <c r="D361" s="11" t="s">
        <v>485</v>
      </c>
      <c r="E361" s="1345">
        <v>188</v>
      </c>
      <c r="F361" s="1343">
        <f t="shared" si="86"/>
        <v>844</v>
      </c>
      <c r="G361" s="1351" t="s">
        <v>733</v>
      </c>
      <c r="H361" s="1352">
        <v>0</v>
      </c>
      <c r="I361" s="1348">
        <f t="shared" si="80"/>
        <v>0</v>
      </c>
      <c r="J361" s="1344">
        <v>0</v>
      </c>
    </row>
    <row r="362" spans="1:10" x14ac:dyDescent="0.2">
      <c r="A362" s="9"/>
      <c r="B362" s="9"/>
      <c r="C362" s="10" t="s">
        <v>357</v>
      </c>
      <c r="D362" s="11" t="s">
        <v>358</v>
      </c>
      <c r="E362" s="1345">
        <v>0</v>
      </c>
      <c r="F362" s="1343">
        <f t="shared" si="86"/>
        <v>2000</v>
      </c>
      <c r="G362" s="1351" t="s">
        <v>126</v>
      </c>
      <c r="H362" s="1352">
        <v>1288.2</v>
      </c>
      <c r="I362" s="1348">
        <f t="shared" si="80"/>
        <v>0.64410000000000001</v>
      </c>
      <c r="J362" s="1344">
        <v>0</v>
      </c>
    </row>
    <row r="363" spans="1:10" ht="15" x14ac:dyDescent="0.2">
      <c r="A363" s="8"/>
      <c r="B363" s="1632" t="s">
        <v>734</v>
      </c>
      <c r="C363" s="1633"/>
      <c r="D363" s="1634" t="s">
        <v>14</v>
      </c>
      <c r="E363" s="1635">
        <f>E364+E365+E366</f>
        <v>12000</v>
      </c>
      <c r="F363" s="1636">
        <f t="shared" ref="F363:J363" si="87">F364+F365+F366</f>
        <v>0</v>
      </c>
      <c r="G363" s="1637">
        <f t="shared" si="87"/>
        <v>12000</v>
      </c>
      <c r="H363" s="1637">
        <f t="shared" si="87"/>
        <v>10350</v>
      </c>
      <c r="I363" s="1639">
        <f t="shared" si="80"/>
        <v>0.86250000000000004</v>
      </c>
      <c r="J363" s="1635">
        <f t="shared" si="87"/>
        <v>0</v>
      </c>
    </row>
    <row r="364" spans="1:10" ht="56.25" x14ac:dyDescent="0.2">
      <c r="A364" s="9"/>
      <c r="B364" s="9"/>
      <c r="C364" s="10" t="s">
        <v>263</v>
      </c>
      <c r="D364" s="11" t="s">
        <v>547</v>
      </c>
      <c r="E364" s="1345">
        <v>10000</v>
      </c>
      <c r="F364" s="1343">
        <f>G364-E364</f>
        <v>0</v>
      </c>
      <c r="G364" s="1351" t="s">
        <v>142</v>
      </c>
      <c r="H364" s="1352">
        <v>10000</v>
      </c>
      <c r="I364" s="1348">
        <f t="shared" si="80"/>
        <v>1</v>
      </c>
      <c r="J364" s="1344">
        <v>0</v>
      </c>
    </row>
    <row r="365" spans="1:10" x14ac:dyDescent="0.2">
      <c r="A365" s="9"/>
      <c r="B365" s="9"/>
      <c r="C365" s="10" t="s">
        <v>351</v>
      </c>
      <c r="D365" s="11" t="s">
        <v>352</v>
      </c>
      <c r="E365" s="1345">
        <v>1050</v>
      </c>
      <c r="F365" s="1343">
        <f t="shared" ref="F365:F366" si="88">G365-E365</f>
        <v>950</v>
      </c>
      <c r="G365" s="1351" t="s">
        <v>126</v>
      </c>
      <c r="H365" s="1352">
        <v>350</v>
      </c>
      <c r="I365" s="1348">
        <f t="shared" si="80"/>
        <v>0.17499999999999999</v>
      </c>
      <c r="J365" s="1344">
        <v>0</v>
      </c>
    </row>
    <row r="366" spans="1:10" x14ac:dyDescent="0.2">
      <c r="A366" s="9"/>
      <c r="B366" s="9"/>
      <c r="C366" s="10" t="s">
        <v>354</v>
      </c>
      <c r="D366" s="11" t="s">
        <v>355</v>
      </c>
      <c r="E366" s="1345">
        <v>950</v>
      </c>
      <c r="F366" s="1343">
        <f t="shared" si="88"/>
        <v>-950</v>
      </c>
      <c r="G366" s="1351" t="s">
        <v>7</v>
      </c>
      <c r="H366" s="1352">
        <v>0</v>
      </c>
      <c r="I366" s="1348">
        <v>0</v>
      </c>
      <c r="J366" s="1344">
        <v>0</v>
      </c>
    </row>
    <row r="367" spans="1:10" x14ac:dyDescent="0.2">
      <c r="A367" s="1640" t="s">
        <v>234</v>
      </c>
      <c r="B367" s="1640"/>
      <c r="C367" s="1640"/>
      <c r="D367" s="1641" t="s">
        <v>235</v>
      </c>
      <c r="E367" s="1642">
        <f>E368+E370+E373+E377+E379+E382+E386+E406+E410+E412+E414+E416</f>
        <v>3868306</v>
      </c>
      <c r="F367" s="1643">
        <f t="shared" ref="F367:J367" si="89">F368+F370+F373+F377+F379+F382+F386+F406+F410+F412+F414+F416</f>
        <v>643832.49</v>
      </c>
      <c r="G367" s="1644">
        <f t="shared" si="89"/>
        <v>4512138.49</v>
      </c>
      <c r="H367" s="1644">
        <f t="shared" si="89"/>
        <v>4391053.46</v>
      </c>
      <c r="I367" s="1645">
        <f t="shared" si="80"/>
        <v>0.97316460248984948</v>
      </c>
      <c r="J367" s="1642">
        <f t="shared" si="89"/>
        <v>101678.23000000001</v>
      </c>
    </row>
    <row r="368" spans="1:10" ht="15" x14ac:dyDescent="0.2">
      <c r="A368" s="8"/>
      <c r="B368" s="1632" t="s">
        <v>735</v>
      </c>
      <c r="C368" s="1633"/>
      <c r="D368" s="1634" t="s">
        <v>736</v>
      </c>
      <c r="E368" s="1635">
        <f>E369</f>
        <v>542430</v>
      </c>
      <c r="F368" s="1636">
        <f t="shared" ref="F368:J368" si="90">F369</f>
        <v>46000</v>
      </c>
      <c r="G368" s="1637" t="str">
        <f t="shared" si="90"/>
        <v>588 430,00</v>
      </c>
      <c r="H368" s="1637">
        <f t="shared" si="90"/>
        <v>583873.81999999995</v>
      </c>
      <c r="I368" s="1639">
        <f t="shared" si="80"/>
        <v>0.99225705691416133</v>
      </c>
      <c r="J368" s="1635">
        <f t="shared" si="90"/>
        <v>0</v>
      </c>
    </row>
    <row r="369" spans="1:10" ht="33.75" x14ac:dyDescent="0.2">
      <c r="A369" s="9"/>
      <c r="B369" s="9"/>
      <c r="C369" s="10" t="s">
        <v>614</v>
      </c>
      <c r="D369" s="11" t="s">
        <v>615</v>
      </c>
      <c r="E369" s="1345">
        <v>542430</v>
      </c>
      <c r="F369" s="1343">
        <f>G369-E369</f>
        <v>46000</v>
      </c>
      <c r="G369" s="1351" t="s">
        <v>737</v>
      </c>
      <c r="H369" s="1352">
        <v>583873.81999999995</v>
      </c>
      <c r="I369" s="1348">
        <f t="shared" si="80"/>
        <v>0.99225705691416133</v>
      </c>
      <c r="J369" s="1344">
        <v>0</v>
      </c>
    </row>
    <row r="370" spans="1:10" ht="22.5" x14ac:dyDescent="0.2">
      <c r="A370" s="8"/>
      <c r="B370" s="1632" t="s">
        <v>738</v>
      </c>
      <c r="C370" s="1633"/>
      <c r="D370" s="1634" t="s">
        <v>739</v>
      </c>
      <c r="E370" s="1635">
        <f>E371+E372</f>
        <v>5000</v>
      </c>
      <c r="F370" s="1636">
        <f t="shared" ref="F370:J370" si="91">F371+F372</f>
        <v>-2000</v>
      </c>
      <c r="G370" s="1637">
        <f t="shared" si="91"/>
        <v>3000</v>
      </c>
      <c r="H370" s="1637">
        <f t="shared" si="91"/>
        <v>2167.98</v>
      </c>
      <c r="I370" s="1639">
        <f t="shared" si="80"/>
        <v>0.72265999999999997</v>
      </c>
      <c r="J370" s="1635">
        <f t="shared" si="91"/>
        <v>0</v>
      </c>
    </row>
    <row r="371" spans="1:10" x14ac:dyDescent="0.2">
      <c r="A371" s="9"/>
      <c r="B371" s="9"/>
      <c r="C371" s="10" t="s">
        <v>351</v>
      </c>
      <c r="D371" s="11" t="s">
        <v>352</v>
      </c>
      <c r="E371" s="1345">
        <v>1000</v>
      </c>
      <c r="F371" s="1343">
        <f>G371-E371</f>
        <v>0</v>
      </c>
      <c r="G371" s="1351" t="s">
        <v>95</v>
      </c>
      <c r="H371" s="1352">
        <v>422.23</v>
      </c>
      <c r="I371" s="1348">
        <f t="shared" si="80"/>
        <v>0.42222999999999999</v>
      </c>
      <c r="J371" s="1344">
        <v>0</v>
      </c>
    </row>
    <row r="372" spans="1:10" x14ac:dyDescent="0.2">
      <c r="A372" s="9"/>
      <c r="B372" s="9"/>
      <c r="C372" s="10" t="s">
        <v>354</v>
      </c>
      <c r="D372" s="11" t="s">
        <v>355</v>
      </c>
      <c r="E372" s="1345">
        <v>4000</v>
      </c>
      <c r="F372" s="1343">
        <f>G372-E372</f>
        <v>-2000</v>
      </c>
      <c r="G372" s="1351" t="s">
        <v>126</v>
      </c>
      <c r="H372" s="1352">
        <v>1745.75</v>
      </c>
      <c r="I372" s="1348">
        <f t="shared" si="80"/>
        <v>0.87287499999999996</v>
      </c>
      <c r="J372" s="1344">
        <v>0</v>
      </c>
    </row>
    <row r="373" spans="1:10" ht="56.25" x14ac:dyDescent="0.2">
      <c r="A373" s="8"/>
      <c r="B373" s="1632" t="s">
        <v>236</v>
      </c>
      <c r="C373" s="1633"/>
      <c r="D373" s="1634" t="s">
        <v>237</v>
      </c>
      <c r="E373" s="1635">
        <f>E374+E375+E376</f>
        <v>90751</v>
      </c>
      <c r="F373" s="1636">
        <f t="shared" ref="F373:J373" si="92">F374+F375+F376</f>
        <v>20300</v>
      </c>
      <c r="G373" s="1637">
        <f t="shared" si="92"/>
        <v>111051</v>
      </c>
      <c r="H373" s="1637">
        <f t="shared" si="92"/>
        <v>106753</v>
      </c>
      <c r="I373" s="1639">
        <f t="shared" si="80"/>
        <v>0.96129706171038531</v>
      </c>
      <c r="J373" s="1635">
        <f t="shared" si="92"/>
        <v>0</v>
      </c>
    </row>
    <row r="374" spans="1:10" ht="56.25" x14ac:dyDescent="0.2">
      <c r="A374" s="9"/>
      <c r="B374" s="9"/>
      <c r="C374" s="10" t="s">
        <v>240</v>
      </c>
      <c r="D374" s="11" t="s">
        <v>740</v>
      </c>
      <c r="E374" s="1345">
        <v>250</v>
      </c>
      <c r="F374" s="1343">
        <f>G374-E374</f>
        <v>0</v>
      </c>
      <c r="G374" s="1351" t="s">
        <v>242</v>
      </c>
      <c r="H374" s="1352">
        <v>0</v>
      </c>
      <c r="I374" s="1348">
        <f t="shared" si="80"/>
        <v>0</v>
      </c>
      <c r="J374" s="1344">
        <v>0</v>
      </c>
    </row>
    <row r="375" spans="1:10" x14ac:dyDescent="0.2">
      <c r="A375" s="9"/>
      <c r="B375" s="9"/>
      <c r="C375" s="10" t="s">
        <v>243</v>
      </c>
      <c r="D375" s="11" t="s">
        <v>741</v>
      </c>
      <c r="E375" s="1345">
        <v>0</v>
      </c>
      <c r="F375" s="1343">
        <f t="shared" ref="F375:F376" si="93">G375-E375</f>
        <v>0</v>
      </c>
      <c r="G375" s="1351" t="s">
        <v>7</v>
      </c>
      <c r="H375" s="1352">
        <v>0</v>
      </c>
      <c r="I375" s="1348">
        <v>0</v>
      </c>
      <c r="J375" s="1344">
        <v>0</v>
      </c>
    </row>
    <row r="376" spans="1:10" x14ac:dyDescent="0.2">
      <c r="A376" s="9"/>
      <c r="B376" s="9"/>
      <c r="C376" s="10" t="s">
        <v>742</v>
      </c>
      <c r="D376" s="11" t="s">
        <v>743</v>
      </c>
      <c r="E376" s="1345">
        <v>90501</v>
      </c>
      <c r="F376" s="1343">
        <f t="shared" si="93"/>
        <v>20300</v>
      </c>
      <c r="G376" s="1351" t="s">
        <v>744</v>
      </c>
      <c r="H376" s="1352">
        <v>106753</v>
      </c>
      <c r="I376" s="1348">
        <f t="shared" si="80"/>
        <v>0.9634660337000569</v>
      </c>
      <c r="J376" s="1344">
        <v>0</v>
      </c>
    </row>
    <row r="377" spans="1:10" ht="22.5" x14ac:dyDescent="0.2">
      <c r="A377" s="8"/>
      <c r="B377" s="1632" t="s">
        <v>245</v>
      </c>
      <c r="C377" s="1633"/>
      <c r="D377" s="1634" t="s">
        <v>246</v>
      </c>
      <c r="E377" s="1635">
        <f>E378</f>
        <v>417257</v>
      </c>
      <c r="F377" s="1636">
        <f t="shared" ref="F377:J377" si="94">F378</f>
        <v>60343</v>
      </c>
      <c r="G377" s="1637" t="str">
        <f t="shared" si="94"/>
        <v>477 600,00</v>
      </c>
      <c r="H377" s="1637">
        <f t="shared" si="94"/>
        <v>464387.65</v>
      </c>
      <c r="I377" s="1639">
        <f t="shared" si="80"/>
        <v>0.97233595058626465</v>
      </c>
      <c r="J377" s="1635">
        <f t="shared" si="94"/>
        <v>11255.5</v>
      </c>
    </row>
    <row r="378" spans="1:10" x14ac:dyDescent="0.2">
      <c r="A378" s="9"/>
      <c r="B378" s="9"/>
      <c r="C378" s="10" t="s">
        <v>746</v>
      </c>
      <c r="D378" s="11" t="s">
        <v>747</v>
      </c>
      <c r="E378" s="1345">
        <v>417257</v>
      </c>
      <c r="F378" s="1343">
        <f>G378-E378</f>
        <v>60343</v>
      </c>
      <c r="G378" s="1351" t="s">
        <v>745</v>
      </c>
      <c r="H378" s="1352">
        <v>464387.65</v>
      </c>
      <c r="I378" s="1348">
        <f t="shared" si="80"/>
        <v>0.97233595058626465</v>
      </c>
      <c r="J378" s="1344">
        <v>11255.5</v>
      </c>
    </row>
    <row r="379" spans="1:10" ht="15" x14ac:dyDescent="0.2">
      <c r="A379" s="8"/>
      <c r="B379" s="1632" t="s">
        <v>249</v>
      </c>
      <c r="C379" s="1633"/>
      <c r="D379" s="1634" t="s">
        <v>250</v>
      </c>
      <c r="E379" s="1635">
        <f>E380+E381</f>
        <v>440000</v>
      </c>
      <c r="F379" s="1636">
        <f t="shared" ref="F379:J379" si="95">F380+F381</f>
        <v>-22500.000000000015</v>
      </c>
      <c r="G379" s="1637">
        <f t="shared" si="95"/>
        <v>417500</v>
      </c>
      <c r="H379" s="1637">
        <f t="shared" si="95"/>
        <v>371730.7</v>
      </c>
      <c r="I379" s="1639">
        <f t="shared" si="80"/>
        <v>0.89037293413173657</v>
      </c>
      <c r="J379" s="1635">
        <f t="shared" si="95"/>
        <v>0</v>
      </c>
    </row>
    <row r="380" spans="1:10" x14ac:dyDescent="0.2">
      <c r="A380" s="9"/>
      <c r="B380" s="9"/>
      <c r="C380" s="10" t="s">
        <v>746</v>
      </c>
      <c r="D380" s="11" t="s">
        <v>747</v>
      </c>
      <c r="E380" s="1345">
        <v>440000</v>
      </c>
      <c r="F380" s="1343">
        <f>G380-E380</f>
        <v>-22843.140000000014</v>
      </c>
      <c r="G380" s="1351" t="s">
        <v>748</v>
      </c>
      <c r="H380" s="1352">
        <v>371465.06</v>
      </c>
      <c r="I380" s="1348">
        <f t="shared" si="80"/>
        <v>0.89046853981976948</v>
      </c>
      <c r="J380" s="1344">
        <v>0</v>
      </c>
    </row>
    <row r="381" spans="1:10" x14ac:dyDescent="0.2">
      <c r="A381" s="9"/>
      <c r="B381" s="9"/>
      <c r="C381" s="10" t="s">
        <v>351</v>
      </c>
      <c r="D381" s="11" t="s">
        <v>352</v>
      </c>
      <c r="E381" s="1345">
        <v>0</v>
      </c>
      <c r="F381" s="1343">
        <f>G381-E381</f>
        <v>343.14</v>
      </c>
      <c r="G381" s="1351" t="s">
        <v>749</v>
      </c>
      <c r="H381" s="1352">
        <v>265.64</v>
      </c>
      <c r="I381" s="1348">
        <f t="shared" si="80"/>
        <v>0.77414466398554527</v>
      </c>
      <c r="J381" s="1344">
        <v>0</v>
      </c>
    </row>
    <row r="382" spans="1:10" ht="15" x14ac:dyDescent="0.2">
      <c r="A382" s="8"/>
      <c r="B382" s="1632" t="s">
        <v>252</v>
      </c>
      <c r="C382" s="1633"/>
      <c r="D382" s="1634" t="s">
        <v>253</v>
      </c>
      <c r="E382" s="1635">
        <f>E383+E384+E385</f>
        <v>231304</v>
      </c>
      <c r="F382" s="1636">
        <f t="shared" ref="F382:J382" si="96">F383+F384+F385</f>
        <v>190696</v>
      </c>
      <c r="G382" s="1637">
        <f t="shared" si="96"/>
        <v>422000</v>
      </c>
      <c r="H382" s="1637">
        <f t="shared" si="96"/>
        <v>414212.64</v>
      </c>
      <c r="I382" s="1639">
        <f t="shared" si="80"/>
        <v>0.98154654028436017</v>
      </c>
      <c r="J382" s="1635">
        <f t="shared" si="96"/>
        <v>434</v>
      </c>
    </row>
    <row r="383" spans="1:10" ht="56.25" x14ac:dyDescent="0.2">
      <c r="A383" s="9"/>
      <c r="B383" s="9"/>
      <c r="C383" s="10" t="s">
        <v>240</v>
      </c>
      <c r="D383" s="11" t="s">
        <v>740</v>
      </c>
      <c r="E383" s="1345">
        <v>500</v>
      </c>
      <c r="F383" s="1343">
        <f>G383-E383</f>
        <v>0</v>
      </c>
      <c r="G383" s="1351" t="s">
        <v>255</v>
      </c>
      <c r="H383" s="1352">
        <v>50</v>
      </c>
      <c r="I383" s="1348">
        <f t="shared" si="80"/>
        <v>0.1</v>
      </c>
      <c r="J383" s="1344">
        <v>0</v>
      </c>
    </row>
    <row r="384" spans="1:10" x14ac:dyDescent="0.2">
      <c r="A384" s="9"/>
      <c r="B384" s="9"/>
      <c r="C384" s="10" t="s">
        <v>243</v>
      </c>
      <c r="D384" s="11" t="s">
        <v>741</v>
      </c>
      <c r="E384" s="1345">
        <v>0</v>
      </c>
      <c r="F384" s="1343">
        <f t="shared" ref="F384:F385" si="97">G384-E384</f>
        <v>0</v>
      </c>
      <c r="G384" s="1351" t="s">
        <v>7</v>
      </c>
      <c r="H384" s="1352">
        <v>0</v>
      </c>
      <c r="I384" s="1348">
        <v>0</v>
      </c>
      <c r="J384" s="1344">
        <v>0</v>
      </c>
    </row>
    <row r="385" spans="1:10" x14ac:dyDescent="0.2">
      <c r="A385" s="9"/>
      <c r="B385" s="9"/>
      <c r="C385" s="10" t="s">
        <v>746</v>
      </c>
      <c r="D385" s="11" t="s">
        <v>747</v>
      </c>
      <c r="E385" s="1345">
        <v>230804</v>
      </c>
      <c r="F385" s="1343">
        <f t="shared" si="97"/>
        <v>190696</v>
      </c>
      <c r="G385" s="1351" t="s">
        <v>750</v>
      </c>
      <c r="H385" s="1352">
        <v>414162.64</v>
      </c>
      <c r="I385" s="1348">
        <f t="shared" si="80"/>
        <v>0.982592265717675</v>
      </c>
      <c r="J385" s="1344">
        <v>434</v>
      </c>
    </row>
    <row r="386" spans="1:10" ht="15" x14ac:dyDescent="0.2">
      <c r="A386" s="8"/>
      <c r="B386" s="1632" t="s">
        <v>256</v>
      </c>
      <c r="C386" s="1633"/>
      <c r="D386" s="1634" t="s">
        <v>257</v>
      </c>
      <c r="E386" s="1635">
        <f>E387+E388+E389+E390+E391+E392+E393+E394+E395+E396+E397+E398+E399+E400+E401+E402+E403+E404+E405</f>
        <v>1402114</v>
      </c>
      <c r="F386" s="1636">
        <f t="shared" ref="F386:J386" si="98">F387+F388+F389+F390+F391+F392+F393+F394+F395+F396+F397+F398+F399+F400+F401+F402+F403+F404+F405</f>
        <v>-9390.51</v>
      </c>
      <c r="G386" s="1637">
        <f t="shared" si="98"/>
        <v>1392723.49</v>
      </c>
      <c r="H386" s="1637">
        <f t="shared" si="98"/>
        <v>1356251.18</v>
      </c>
      <c r="I386" s="1639">
        <f t="shared" si="80"/>
        <v>0.97381223892475599</v>
      </c>
      <c r="J386" s="1635">
        <f t="shared" si="98"/>
        <v>89988.73000000001</v>
      </c>
    </row>
    <row r="387" spans="1:10" x14ac:dyDescent="0.2">
      <c r="A387" s="9"/>
      <c r="B387" s="9"/>
      <c r="C387" s="10" t="s">
        <v>445</v>
      </c>
      <c r="D387" s="11" t="s">
        <v>446</v>
      </c>
      <c r="E387" s="1345">
        <v>7350</v>
      </c>
      <c r="F387" s="1343">
        <f>G387-E387</f>
        <v>1000</v>
      </c>
      <c r="G387" s="1351" t="s">
        <v>751</v>
      </c>
      <c r="H387" s="1352">
        <v>6792.34</v>
      </c>
      <c r="I387" s="1348">
        <f t="shared" si="80"/>
        <v>0.81345389221556885</v>
      </c>
      <c r="J387" s="1344">
        <v>0</v>
      </c>
    </row>
    <row r="388" spans="1:10" x14ac:dyDescent="0.2">
      <c r="A388" s="9"/>
      <c r="B388" s="9"/>
      <c r="C388" s="10" t="s">
        <v>342</v>
      </c>
      <c r="D388" s="11" t="s">
        <v>343</v>
      </c>
      <c r="E388" s="1345">
        <v>835071</v>
      </c>
      <c r="F388" s="1343">
        <f t="shared" ref="F388:F405" si="99">G388-E388</f>
        <v>28200</v>
      </c>
      <c r="G388" s="1351" t="s">
        <v>752</v>
      </c>
      <c r="H388" s="1352">
        <v>857246.85</v>
      </c>
      <c r="I388" s="1348">
        <f t="shared" si="80"/>
        <v>0.99302171623974389</v>
      </c>
      <c r="J388" s="1344">
        <v>0</v>
      </c>
    </row>
    <row r="389" spans="1:10" x14ac:dyDescent="0.2">
      <c r="A389" s="9"/>
      <c r="B389" s="9"/>
      <c r="C389" s="10" t="s">
        <v>453</v>
      </c>
      <c r="D389" s="11" t="s">
        <v>454</v>
      </c>
      <c r="E389" s="1345">
        <v>61737</v>
      </c>
      <c r="F389" s="1343">
        <f t="shared" si="99"/>
        <v>0</v>
      </c>
      <c r="G389" s="1351" t="s">
        <v>753</v>
      </c>
      <c r="H389" s="1352">
        <v>61737</v>
      </c>
      <c r="I389" s="1348">
        <f t="shared" si="80"/>
        <v>1</v>
      </c>
      <c r="J389" s="1344">
        <v>64595.86</v>
      </c>
    </row>
    <row r="390" spans="1:10" x14ac:dyDescent="0.2">
      <c r="A390" s="9"/>
      <c r="B390" s="9"/>
      <c r="C390" s="10" t="s">
        <v>345</v>
      </c>
      <c r="D390" s="11" t="s">
        <v>346</v>
      </c>
      <c r="E390" s="1345">
        <v>154301</v>
      </c>
      <c r="F390" s="1343">
        <f t="shared" si="99"/>
        <v>3859</v>
      </c>
      <c r="G390" s="1351" t="s">
        <v>754</v>
      </c>
      <c r="H390" s="1352">
        <v>156071.72</v>
      </c>
      <c r="I390" s="1348">
        <f t="shared" si="80"/>
        <v>0.98679640870005059</v>
      </c>
      <c r="J390" s="1344">
        <v>11278.43</v>
      </c>
    </row>
    <row r="391" spans="1:10" x14ac:dyDescent="0.2">
      <c r="A391" s="9"/>
      <c r="B391" s="9"/>
      <c r="C391" s="10" t="s">
        <v>348</v>
      </c>
      <c r="D391" s="11" t="s">
        <v>349</v>
      </c>
      <c r="E391" s="1345">
        <v>21652</v>
      </c>
      <c r="F391" s="1343">
        <f t="shared" si="99"/>
        <v>-2459</v>
      </c>
      <c r="G391" s="1351" t="s">
        <v>755</v>
      </c>
      <c r="H391" s="1352">
        <v>17337.740000000002</v>
      </c>
      <c r="I391" s="1348">
        <f t="shared" ref="I391:I454" si="100">H391/G391</f>
        <v>0.90333663314750179</v>
      </c>
      <c r="J391" s="1344">
        <v>1298.05</v>
      </c>
    </row>
    <row r="392" spans="1:10" ht="22.5" x14ac:dyDescent="0.2">
      <c r="A392" s="9"/>
      <c r="B392" s="9"/>
      <c r="C392" s="10" t="s">
        <v>466</v>
      </c>
      <c r="D392" s="11" t="s">
        <v>467</v>
      </c>
      <c r="E392" s="1345">
        <v>20000</v>
      </c>
      <c r="F392" s="1343">
        <f t="shared" si="99"/>
        <v>-20000</v>
      </c>
      <c r="G392" s="1351" t="s">
        <v>7</v>
      </c>
      <c r="H392" s="1352">
        <v>0</v>
      </c>
      <c r="I392" s="1348">
        <v>0</v>
      </c>
      <c r="J392" s="1344">
        <v>0</v>
      </c>
    </row>
    <row r="393" spans="1:10" x14ac:dyDescent="0.2">
      <c r="A393" s="9"/>
      <c r="B393" s="9"/>
      <c r="C393" s="10" t="s">
        <v>363</v>
      </c>
      <c r="D393" s="11" t="s">
        <v>364</v>
      </c>
      <c r="E393" s="1345">
        <v>10000</v>
      </c>
      <c r="F393" s="1343">
        <f t="shared" si="99"/>
        <v>4000</v>
      </c>
      <c r="G393" s="1351" t="s">
        <v>207</v>
      </c>
      <c r="H393" s="1352">
        <v>11900</v>
      </c>
      <c r="I393" s="1348">
        <f t="shared" si="100"/>
        <v>0.85</v>
      </c>
      <c r="J393" s="1344">
        <v>0</v>
      </c>
    </row>
    <row r="394" spans="1:10" x14ac:dyDescent="0.2">
      <c r="A394" s="9"/>
      <c r="B394" s="9"/>
      <c r="C394" s="10" t="s">
        <v>351</v>
      </c>
      <c r="D394" s="11" t="s">
        <v>352</v>
      </c>
      <c r="E394" s="1345">
        <v>70000</v>
      </c>
      <c r="F394" s="1343">
        <f t="shared" si="99"/>
        <v>-13762.43</v>
      </c>
      <c r="G394" s="1351" t="s">
        <v>756</v>
      </c>
      <c r="H394" s="1352">
        <v>53450.87</v>
      </c>
      <c r="I394" s="1348">
        <f t="shared" si="100"/>
        <v>0.95044771671322215</v>
      </c>
      <c r="J394" s="1344">
        <v>0</v>
      </c>
    </row>
    <row r="395" spans="1:10" x14ac:dyDescent="0.2">
      <c r="A395" s="9"/>
      <c r="B395" s="9"/>
      <c r="C395" s="10" t="s">
        <v>367</v>
      </c>
      <c r="D395" s="11" t="s">
        <v>368</v>
      </c>
      <c r="E395" s="1345">
        <v>78000</v>
      </c>
      <c r="F395" s="1343">
        <f t="shared" si="99"/>
        <v>-49000</v>
      </c>
      <c r="G395" s="1351" t="s">
        <v>757</v>
      </c>
      <c r="H395" s="1352">
        <v>23871.7</v>
      </c>
      <c r="I395" s="1348">
        <f t="shared" si="100"/>
        <v>0.82316206896551725</v>
      </c>
      <c r="J395" s="1344">
        <v>5563.5</v>
      </c>
    </row>
    <row r="396" spans="1:10" x14ac:dyDescent="0.2">
      <c r="A396" s="9"/>
      <c r="B396" s="9"/>
      <c r="C396" s="10" t="s">
        <v>381</v>
      </c>
      <c r="D396" s="11" t="s">
        <v>382</v>
      </c>
      <c r="E396" s="1345">
        <v>1000</v>
      </c>
      <c r="F396" s="1343">
        <f t="shared" si="99"/>
        <v>0</v>
      </c>
      <c r="G396" s="1351" t="s">
        <v>95</v>
      </c>
      <c r="H396" s="1352">
        <v>200</v>
      </c>
      <c r="I396" s="1348">
        <f t="shared" si="100"/>
        <v>0.2</v>
      </c>
      <c r="J396" s="1344">
        <v>0</v>
      </c>
    </row>
    <row r="397" spans="1:10" x14ac:dyDescent="0.2">
      <c r="A397" s="9"/>
      <c r="B397" s="9"/>
      <c r="C397" s="10" t="s">
        <v>472</v>
      </c>
      <c r="D397" s="11" t="s">
        <v>473</v>
      </c>
      <c r="E397" s="1345">
        <v>1800</v>
      </c>
      <c r="F397" s="1343">
        <f t="shared" si="99"/>
        <v>-100</v>
      </c>
      <c r="G397" s="1351" t="s">
        <v>758</v>
      </c>
      <c r="H397" s="1352">
        <v>1695</v>
      </c>
      <c r="I397" s="1348">
        <f t="shared" si="100"/>
        <v>0.99705882352941178</v>
      </c>
      <c r="J397" s="1344">
        <v>0</v>
      </c>
    </row>
    <row r="398" spans="1:10" x14ac:dyDescent="0.2">
      <c r="A398" s="9"/>
      <c r="B398" s="9"/>
      <c r="C398" s="10" t="s">
        <v>354</v>
      </c>
      <c r="D398" s="11" t="s">
        <v>355</v>
      </c>
      <c r="E398" s="1345">
        <v>60977</v>
      </c>
      <c r="F398" s="1343">
        <f t="shared" si="99"/>
        <v>28000</v>
      </c>
      <c r="G398" s="1351" t="s">
        <v>759</v>
      </c>
      <c r="H398" s="1352">
        <v>76837.009999999995</v>
      </c>
      <c r="I398" s="1348">
        <f t="shared" si="100"/>
        <v>0.86356035829484024</v>
      </c>
      <c r="J398" s="1344">
        <v>7252.89</v>
      </c>
    </row>
    <row r="399" spans="1:10" x14ac:dyDescent="0.2">
      <c r="A399" s="9"/>
      <c r="B399" s="9"/>
      <c r="C399" s="10" t="s">
        <v>475</v>
      </c>
      <c r="D399" s="11" t="s">
        <v>476</v>
      </c>
      <c r="E399" s="1345">
        <v>11000</v>
      </c>
      <c r="F399" s="1343">
        <f t="shared" si="99"/>
        <v>-1000</v>
      </c>
      <c r="G399" s="1351" t="s">
        <v>142</v>
      </c>
      <c r="H399" s="1352">
        <v>9493.51</v>
      </c>
      <c r="I399" s="1348">
        <f t="shared" si="100"/>
        <v>0.94935100000000006</v>
      </c>
      <c r="J399" s="1344">
        <v>0</v>
      </c>
    </row>
    <row r="400" spans="1:10" ht="22.5" x14ac:dyDescent="0.2">
      <c r="A400" s="9"/>
      <c r="B400" s="9"/>
      <c r="C400" s="10" t="s">
        <v>481</v>
      </c>
      <c r="D400" s="11" t="s">
        <v>482</v>
      </c>
      <c r="E400" s="1345">
        <v>22000</v>
      </c>
      <c r="F400" s="1343">
        <f t="shared" si="99"/>
        <v>-1560</v>
      </c>
      <c r="G400" s="1351" t="s">
        <v>760</v>
      </c>
      <c r="H400" s="1352">
        <v>20400</v>
      </c>
      <c r="I400" s="1348">
        <f t="shared" si="100"/>
        <v>0.99804305283757333</v>
      </c>
      <c r="J400" s="1344">
        <v>0</v>
      </c>
    </row>
    <row r="401" spans="1:10" x14ac:dyDescent="0.2">
      <c r="A401" s="9"/>
      <c r="B401" s="9"/>
      <c r="C401" s="10" t="s">
        <v>484</v>
      </c>
      <c r="D401" s="11" t="s">
        <v>485</v>
      </c>
      <c r="E401" s="1345">
        <v>13000</v>
      </c>
      <c r="F401" s="1343">
        <f t="shared" si="99"/>
        <v>2000</v>
      </c>
      <c r="G401" s="1351" t="s">
        <v>29</v>
      </c>
      <c r="H401" s="1352">
        <v>14135.73</v>
      </c>
      <c r="I401" s="1348">
        <f t="shared" si="100"/>
        <v>0.94238199999999994</v>
      </c>
      <c r="J401" s="1344">
        <v>0</v>
      </c>
    </row>
    <row r="402" spans="1:10" x14ac:dyDescent="0.2">
      <c r="A402" s="9"/>
      <c r="B402" s="9"/>
      <c r="C402" s="10" t="s">
        <v>357</v>
      </c>
      <c r="D402" s="11" t="s">
        <v>358</v>
      </c>
      <c r="E402" s="1345">
        <v>900</v>
      </c>
      <c r="F402" s="1343">
        <f t="shared" si="99"/>
        <v>0</v>
      </c>
      <c r="G402" s="1351" t="s">
        <v>761</v>
      </c>
      <c r="H402" s="1352">
        <v>501.52</v>
      </c>
      <c r="I402" s="1348">
        <f t="shared" si="100"/>
        <v>0.55724444444444443</v>
      </c>
      <c r="J402" s="1344">
        <v>0</v>
      </c>
    </row>
    <row r="403" spans="1:10" ht="22.5" x14ac:dyDescent="0.2">
      <c r="A403" s="9"/>
      <c r="B403" s="9"/>
      <c r="C403" s="10" t="s">
        <v>489</v>
      </c>
      <c r="D403" s="11" t="s">
        <v>490</v>
      </c>
      <c r="E403" s="1345">
        <v>29326</v>
      </c>
      <c r="F403" s="1343">
        <f t="shared" si="99"/>
        <v>2954</v>
      </c>
      <c r="G403" s="1351" t="s">
        <v>762</v>
      </c>
      <c r="H403" s="1352">
        <v>32280</v>
      </c>
      <c r="I403" s="1348">
        <f t="shared" si="100"/>
        <v>1</v>
      </c>
      <c r="J403" s="1344">
        <v>0</v>
      </c>
    </row>
    <row r="404" spans="1:10" ht="22.5" x14ac:dyDescent="0.2">
      <c r="A404" s="9"/>
      <c r="B404" s="9"/>
      <c r="C404" s="10" t="s">
        <v>433</v>
      </c>
      <c r="D404" s="11" t="s">
        <v>434</v>
      </c>
      <c r="E404" s="1345">
        <v>4000</v>
      </c>
      <c r="F404" s="1343">
        <f t="shared" si="99"/>
        <v>2200</v>
      </c>
      <c r="G404" s="1351" t="s">
        <v>763</v>
      </c>
      <c r="H404" s="1352">
        <v>6022.27</v>
      </c>
      <c r="I404" s="1348">
        <f t="shared" si="100"/>
        <v>0.97133387096774204</v>
      </c>
      <c r="J404" s="1344">
        <v>0</v>
      </c>
    </row>
    <row r="405" spans="1:10" ht="22.5" x14ac:dyDescent="0.2">
      <c r="A405" s="9"/>
      <c r="B405" s="9"/>
      <c r="C405" s="10" t="s">
        <v>395</v>
      </c>
      <c r="D405" s="11" t="s">
        <v>396</v>
      </c>
      <c r="E405" s="1345">
        <v>0</v>
      </c>
      <c r="F405" s="1343">
        <f t="shared" si="99"/>
        <v>6277.92</v>
      </c>
      <c r="G405" s="1351" t="s">
        <v>764</v>
      </c>
      <c r="H405" s="1352">
        <v>6277.92</v>
      </c>
      <c r="I405" s="1348">
        <f t="shared" si="100"/>
        <v>1</v>
      </c>
      <c r="J405" s="1344">
        <v>0</v>
      </c>
    </row>
    <row r="406" spans="1:10" ht="22.5" x14ac:dyDescent="0.2">
      <c r="A406" s="8"/>
      <c r="B406" s="1632" t="s">
        <v>259</v>
      </c>
      <c r="C406" s="1633"/>
      <c r="D406" s="1634" t="s">
        <v>260</v>
      </c>
      <c r="E406" s="1635">
        <f>E407+E408+E409</f>
        <v>445450</v>
      </c>
      <c r="F406" s="1636">
        <f t="shared" ref="F406:J406" si="101">F407+F408+F409</f>
        <v>135384</v>
      </c>
      <c r="G406" s="1637">
        <f t="shared" si="101"/>
        <v>580834</v>
      </c>
      <c r="H406" s="1637">
        <f t="shared" si="101"/>
        <v>575116</v>
      </c>
      <c r="I406" s="1639">
        <f t="shared" si="100"/>
        <v>0.99015553497212627</v>
      </c>
      <c r="J406" s="1635">
        <f t="shared" si="101"/>
        <v>0</v>
      </c>
    </row>
    <row r="407" spans="1:10" x14ac:dyDescent="0.2">
      <c r="A407" s="9"/>
      <c r="B407" s="9"/>
      <c r="C407" s="10" t="s">
        <v>345</v>
      </c>
      <c r="D407" s="11" t="s">
        <v>346</v>
      </c>
      <c r="E407" s="1345">
        <v>29400</v>
      </c>
      <c r="F407" s="1343">
        <f>G407-E407</f>
        <v>-29400</v>
      </c>
      <c r="G407" s="1351" t="s">
        <v>7</v>
      </c>
      <c r="H407" s="1352">
        <v>0</v>
      </c>
      <c r="I407" s="1348">
        <v>0</v>
      </c>
      <c r="J407" s="1344">
        <v>0</v>
      </c>
    </row>
    <row r="408" spans="1:10" x14ac:dyDescent="0.2">
      <c r="A408" s="9"/>
      <c r="B408" s="9"/>
      <c r="C408" s="10" t="s">
        <v>363</v>
      </c>
      <c r="D408" s="11" t="s">
        <v>364</v>
      </c>
      <c r="E408" s="1345">
        <v>168000</v>
      </c>
      <c r="F408" s="1343">
        <f t="shared" ref="F408:F409" si="102">G408-E408</f>
        <v>-168000</v>
      </c>
      <c r="G408" s="1351" t="s">
        <v>7</v>
      </c>
      <c r="H408" s="1352">
        <v>0</v>
      </c>
      <c r="I408" s="1348">
        <v>0</v>
      </c>
      <c r="J408" s="1344">
        <v>0</v>
      </c>
    </row>
    <row r="409" spans="1:10" x14ac:dyDescent="0.2">
      <c r="A409" s="9"/>
      <c r="B409" s="9"/>
      <c r="C409" s="10" t="s">
        <v>354</v>
      </c>
      <c r="D409" s="11" t="s">
        <v>355</v>
      </c>
      <c r="E409" s="1345">
        <v>248050</v>
      </c>
      <c r="F409" s="1343">
        <f t="shared" si="102"/>
        <v>332784</v>
      </c>
      <c r="G409" s="1351" t="s">
        <v>765</v>
      </c>
      <c r="H409" s="1352">
        <v>575116</v>
      </c>
      <c r="I409" s="1348">
        <f t="shared" si="100"/>
        <v>0.99015553497212627</v>
      </c>
      <c r="J409" s="1344">
        <v>0</v>
      </c>
    </row>
    <row r="410" spans="1:10" ht="15" x14ac:dyDescent="0.2">
      <c r="A410" s="8"/>
      <c r="B410" s="1632" t="s">
        <v>266</v>
      </c>
      <c r="C410" s="1633"/>
      <c r="D410" s="1634" t="s">
        <v>267</v>
      </c>
      <c r="E410" s="1635">
        <f>E411</f>
        <v>130000</v>
      </c>
      <c r="F410" s="1636">
        <f t="shared" ref="F410:J410" si="103">F411</f>
        <v>195000</v>
      </c>
      <c r="G410" s="1637" t="str">
        <f t="shared" si="103"/>
        <v>325 000,00</v>
      </c>
      <c r="H410" s="1637">
        <f t="shared" si="103"/>
        <v>325000</v>
      </c>
      <c r="I410" s="1639">
        <f t="shared" si="100"/>
        <v>1</v>
      </c>
      <c r="J410" s="1635">
        <f t="shared" si="103"/>
        <v>0</v>
      </c>
    </row>
    <row r="411" spans="1:10" x14ac:dyDescent="0.2">
      <c r="A411" s="9"/>
      <c r="B411" s="9"/>
      <c r="C411" s="10" t="s">
        <v>746</v>
      </c>
      <c r="D411" s="11" t="s">
        <v>747</v>
      </c>
      <c r="E411" s="1345">
        <v>130000</v>
      </c>
      <c r="F411" s="1343">
        <f>G411-E411</f>
        <v>195000</v>
      </c>
      <c r="G411" s="1351" t="s">
        <v>766</v>
      </c>
      <c r="H411" s="1352">
        <v>325000</v>
      </c>
      <c r="I411" s="1348">
        <f t="shared" si="100"/>
        <v>1</v>
      </c>
      <c r="J411" s="1344">
        <v>0</v>
      </c>
    </row>
    <row r="412" spans="1:10" ht="15" x14ac:dyDescent="0.2">
      <c r="A412" s="8"/>
      <c r="B412" s="1632" t="s">
        <v>767</v>
      </c>
      <c r="C412" s="1633"/>
      <c r="D412" s="1634" t="s">
        <v>768</v>
      </c>
      <c r="E412" s="1635">
        <f>E413</f>
        <v>150000</v>
      </c>
      <c r="F412" s="1636">
        <f t="shared" ref="F412:J412" si="104">F413</f>
        <v>0</v>
      </c>
      <c r="G412" s="1637" t="str">
        <f t="shared" si="104"/>
        <v>150 000,00</v>
      </c>
      <c r="H412" s="1637">
        <f t="shared" si="104"/>
        <v>150000</v>
      </c>
      <c r="I412" s="1639">
        <f t="shared" si="100"/>
        <v>1</v>
      </c>
      <c r="J412" s="1635">
        <f t="shared" si="104"/>
        <v>0</v>
      </c>
    </row>
    <row r="413" spans="1:10" ht="22.5" x14ac:dyDescent="0.2">
      <c r="A413" s="9"/>
      <c r="B413" s="9"/>
      <c r="C413" s="10" t="s">
        <v>401</v>
      </c>
      <c r="D413" s="11" t="s">
        <v>402</v>
      </c>
      <c r="E413" s="1345">
        <v>150000</v>
      </c>
      <c r="F413" s="1343">
        <f>G413-E413</f>
        <v>0</v>
      </c>
      <c r="G413" s="1351" t="s">
        <v>118</v>
      </c>
      <c r="H413" s="1352">
        <v>150000</v>
      </c>
      <c r="I413" s="1348">
        <f t="shared" si="100"/>
        <v>1</v>
      </c>
      <c r="J413" s="1344">
        <v>0</v>
      </c>
    </row>
    <row r="414" spans="1:10" ht="15" x14ac:dyDescent="0.2">
      <c r="A414" s="8"/>
      <c r="B414" s="1632" t="s">
        <v>269</v>
      </c>
      <c r="C414" s="1633"/>
      <c r="D414" s="1634" t="s">
        <v>270</v>
      </c>
      <c r="E414" s="1635">
        <f>E415</f>
        <v>0</v>
      </c>
      <c r="F414" s="1636">
        <f t="shared" ref="F414:J414" si="105">F415</f>
        <v>30000</v>
      </c>
      <c r="G414" s="1637" t="str">
        <f t="shared" si="105"/>
        <v>30 000,00</v>
      </c>
      <c r="H414" s="1637">
        <f t="shared" si="105"/>
        <v>30000</v>
      </c>
      <c r="I414" s="1639">
        <f t="shared" si="100"/>
        <v>1</v>
      </c>
      <c r="J414" s="1635">
        <f t="shared" si="105"/>
        <v>0</v>
      </c>
    </row>
    <row r="415" spans="1:10" x14ac:dyDescent="0.2">
      <c r="A415" s="9"/>
      <c r="B415" s="9"/>
      <c r="C415" s="10" t="s">
        <v>746</v>
      </c>
      <c r="D415" s="11" t="s">
        <v>747</v>
      </c>
      <c r="E415" s="1345">
        <v>0</v>
      </c>
      <c r="F415" s="1343">
        <f>G415-E415</f>
        <v>30000</v>
      </c>
      <c r="G415" s="1351" t="s">
        <v>138</v>
      </c>
      <c r="H415" s="1352">
        <v>30000</v>
      </c>
      <c r="I415" s="1348">
        <f t="shared" si="100"/>
        <v>1</v>
      </c>
      <c r="J415" s="1344">
        <v>0</v>
      </c>
    </row>
    <row r="416" spans="1:10" ht="15" x14ac:dyDescent="0.2">
      <c r="A416" s="8"/>
      <c r="B416" s="1632" t="s">
        <v>769</v>
      </c>
      <c r="C416" s="1633"/>
      <c r="D416" s="1634" t="s">
        <v>14</v>
      </c>
      <c r="E416" s="1635">
        <f>E417+E418</f>
        <v>14000</v>
      </c>
      <c r="F416" s="1636">
        <f t="shared" ref="F416:J416" si="106">F417+F418</f>
        <v>0</v>
      </c>
      <c r="G416" s="1637">
        <f t="shared" si="106"/>
        <v>14000</v>
      </c>
      <c r="H416" s="1637">
        <f t="shared" si="106"/>
        <v>11560.49</v>
      </c>
      <c r="I416" s="1639">
        <f t="shared" si="100"/>
        <v>0.82574928571428574</v>
      </c>
      <c r="J416" s="1635">
        <f t="shared" si="106"/>
        <v>0</v>
      </c>
    </row>
    <row r="417" spans="1:10" x14ac:dyDescent="0.2">
      <c r="A417" s="9"/>
      <c r="B417" s="9"/>
      <c r="C417" s="10" t="s">
        <v>351</v>
      </c>
      <c r="D417" s="11" t="s">
        <v>352</v>
      </c>
      <c r="E417" s="1345">
        <v>6000</v>
      </c>
      <c r="F417" s="1343">
        <f>G417-E417</f>
        <v>0</v>
      </c>
      <c r="G417" s="1351" t="s">
        <v>47</v>
      </c>
      <c r="H417" s="1352">
        <v>5235.34</v>
      </c>
      <c r="I417" s="1348">
        <f t="shared" si="100"/>
        <v>0.87255666666666665</v>
      </c>
      <c r="J417" s="1344">
        <v>0</v>
      </c>
    </row>
    <row r="418" spans="1:10" x14ac:dyDescent="0.2">
      <c r="A418" s="9"/>
      <c r="B418" s="9"/>
      <c r="C418" s="10" t="s">
        <v>354</v>
      </c>
      <c r="D418" s="11" t="s">
        <v>355</v>
      </c>
      <c r="E418" s="1345">
        <v>8000</v>
      </c>
      <c r="F418" s="1343">
        <f>G418-E418</f>
        <v>0</v>
      </c>
      <c r="G418" s="1351" t="s">
        <v>134</v>
      </c>
      <c r="H418" s="1352">
        <v>6325.15</v>
      </c>
      <c r="I418" s="1348">
        <f t="shared" si="100"/>
        <v>0.79064374999999998</v>
      </c>
      <c r="J418" s="1344">
        <v>0</v>
      </c>
    </row>
    <row r="419" spans="1:10" ht="22.5" x14ac:dyDescent="0.2">
      <c r="A419" s="1640" t="s">
        <v>271</v>
      </c>
      <c r="B419" s="1640"/>
      <c r="C419" s="1640"/>
      <c r="D419" s="1641" t="s">
        <v>272</v>
      </c>
      <c r="E419" s="1642">
        <f>E420+E422</f>
        <v>44000</v>
      </c>
      <c r="F419" s="1643">
        <f t="shared" ref="F419:J419" si="107">F420+F422</f>
        <v>634219.38</v>
      </c>
      <c r="G419" s="1644">
        <f t="shared" si="107"/>
        <v>678219.38</v>
      </c>
      <c r="H419" s="1644">
        <f t="shared" si="107"/>
        <v>377903.46</v>
      </c>
      <c r="I419" s="1645">
        <f t="shared" si="100"/>
        <v>0.55719944186791004</v>
      </c>
      <c r="J419" s="1642">
        <f t="shared" si="107"/>
        <v>11469.119999999999</v>
      </c>
    </row>
    <row r="420" spans="1:10" ht="22.5" x14ac:dyDescent="0.2">
      <c r="A420" s="8"/>
      <c r="B420" s="1632" t="s">
        <v>770</v>
      </c>
      <c r="C420" s="1633"/>
      <c r="D420" s="1634" t="s">
        <v>771</v>
      </c>
      <c r="E420" s="1635">
        <f>E421</f>
        <v>40000</v>
      </c>
      <c r="F420" s="1636">
        <f t="shared" ref="F420:J420" si="108">F421</f>
        <v>0</v>
      </c>
      <c r="G420" s="1637" t="str">
        <f t="shared" si="108"/>
        <v>40 000,00</v>
      </c>
      <c r="H420" s="1637">
        <f t="shared" si="108"/>
        <v>34752</v>
      </c>
      <c r="I420" s="1639">
        <f t="shared" si="100"/>
        <v>0.86880000000000002</v>
      </c>
      <c r="J420" s="1635">
        <f t="shared" si="108"/>
        <v>0</v>
      </c>
    </row>
    <row r="421" spans="1:10" ht="45" x14ac:dyDescent="0.2">
      <c r="A421" s="9"/>
      <c r="B421" s="9"/>
      <c r="C421" s="10" t="s">
        <v>11</v>
      </c>
      <c r="D421" s="11" t="s">
        <v>379</v>
      </c>
      <c r="E421" s="1345">
        <v>40000</v>
      </c>
      <c r="F421" s="1343">
        <f>G421-E421</f>
        <v>0</v>
      </c>
      <c r="G421" s="1351" t="s">
        <v>397</v>
      </c>
      <c r="H421" s="1352">
        <v>34752</v>
      </c>
      <c r="I421" s="1348">
        <f t="shared" si="100"/>
        <v>0.86880000000000002</v>
      </c>
      <c r="J421" s="1344">
        <v>0</v>
      </c>
    </row>
    <row r="422" spans="1:10" ht="15" x14ac:dyDescent="0.2">
      <c r="A422" s="8"/>
      <c r="B422" s="1632" t="s">
        <v>273</v>
      </c>
      <c r="C422" s="1633"/>
      <c r="D422" s="1634" t="s">
        <v>14</v>
      </c>
      <c r="E422" s="1635">
        <f>E423+E424+E425+E426+E427+E428+E429+E430+E431+E432+E433+E434+E435+E436+E437+E438+E439+E440+E441</f>
        <v>4000</v>
      </c>
      <c r="F422" s="1636">
        <f t="shared" ref="F422:J422" si="109">F423+F424+F425+F426+F427+F428+F429+F430+F431+F432+F433+F434+F435+F436+F437+F438+F439+F440+F441</f>
        <v>634219.38</v>
      </c>
      <c r="G422" s="1637">
        <f t="shared" si="109"/>
        <v>638219.38</v>
      </c>
      <c r="H422" s="1637">
        <f t="shared" si="109"/>
        <v>343151.46</v>
      </c>
      <c r="I422" s="1639">
        <f t="shared" si="100"/>
        <v>0.53767007200564798</v>
      </c>
      <c r="J422" s="1635">
        <f t="shared" si="109"/>
        <v>11469.119999999999</v>
      </c>
    </row>
    <row r="423" spans="1:10" ht="56.25" x14ac:dyDescent="0.2">
      <c r="A423" s="9"/>
      <c r="B423" s="9"/>
      <c r="C423" s="10" t="s">
        <v>263</v>
      </c>
      <c r="D423" s="11" t="s">
        <v>547</v>
      </c>
      <c r="E423" s="1345">
        <v>4000</v>
      </c>
      <c r="F423" s="1343">
        <f>G423-E423</f>
        <v>0</v>
      </c>
      <c r="G423" s="1351" t="s">
        <v>210</v>
      </c>
      <c r="H423" s="1352">
        <v>2990.93</v>
      </c>
      <c r="I423" s="1348">
        <f t="shared" si="100"/>
        <v>0.74773249999999991</v>
      </c>
      <c r="J423" s="1344">
        <v>0</v>
      </c>
    </row>
    <row r="424" spans="1:10" x14ac:dyDescent="0.2">
      <c r="A424" s="9"/>
      <c r="B424" s="9"/>
      <c r="C424" s="10" t="s">
        <v>772</v>
      </c>
      <c r="D424" s="11" t="s">
        <v>747</v>
      </c>
      <c r="E424" s="1345">
        <v>0</v>
      </c>
      <c r="F424" s="1343">
        <f t="shared" ref="F424:F441" si="110">G424-E424</f>
        <v>94714</v>
      </c>
      <c r="G424" s="1351" t="s">
        <v>773</v>
      </c>
      <c r="H424" s="1352">
        <v>39444.449999999997</v>
      </c>
      <c r="I424" s="1348">
        <f t="shared" si="100"/>
        <v>0.4164584961040606</v>
      </c>
      <c r="J424" s="1344">
        <v>0</v>
      </c>
    </row>
    <row r="425" spans="1:10" x14ac:dyDescent="0.2">
      <c r="A425" s="9"/>
      <c r="B425" s="9"/>
      <c r="C425" s="10" t="s">
        <v>688</v>
      </c>
      <c r="D425" s="11" t="s">
        <v>343</v>
      </c>
      <c r="E425" s="1345">
        <v>0</v>
      </c>
      <c r="F425" s="1343">
        <f t="shared" si="110"/>
        <v>90778.76</v>
      </c>
      <c r="G425" s="1351" t="s">
        <v>774</v>
      </c>
      <c r="H425" s="1352">
        <v>62451.63</v>
      </c>
      <c r="I425" s="1348">
        <f t="shared" si="100"/>
        <v>0.68795420867172019</v>
      </c>
      <c r="J425" s="1344">
        <v>0</v>
      </c>
    </row>
    <row r="426" spans="1:10" x14ac:dyDescent="0.2">
      <c r="A426" s="9"/>
      <c r="B426" s="9"/>
      <c r="C426" s="10" t="s">
        <v>451</v>
      </c>
      <c r="D426" s="11" t="s">
        <v>343</v>
      </c>
      <c r="E426" s="1345">
        <v>0</v>
      </c>
      <c r="F426" s="1343">
        <f t="shared" si="110"/>
        <v>7150.45</v>
      </c>
      <c r="G426" s="1351" t="s">
        <v>775</v>
      </c>
      <c r="H426" s="1352">
        <v>5879.55</v>
      </c>
      <c r="I426" s="1348">
        <f t="shared" si="100"/>
        <v>0.82226293450062593</v>
      </c>
      <c r="J426" s="1344">
        <v>0</v>
      </c>
    </row>
    <row r="427" spans="1:10" x14ac:dyDescent="0.2">
      <c r="A427" s="9"/>
      <c r="B427" s="9"/>
      <c r="C427" s="10" t="s">
        <v>691</v>
      </c>
      <c r="D427" s="11" t="s">
        <v>346</v>
      </c>
      <c r="E427" s="1345">
        <v>0</v>
      </c>
      <c r="F427" s="1343">
        <f t="shared" si="110"/>
        <v>18622.509999999998</v>
      </c>
      <c r="G427" s="1351" t="s">
        <v>776</v>
      </c>
      <c r="H427" s="1352">
        <v>12732.83</v>
      </c>
      <c r="I427" s="1348">
        <f t="shared" si="100"/>
        <v>0.68373328836982772</v>
      </c>
      <c r="J427" s="1344">
        <v>558.72</v>
      </c>
    </row>
    <row r="428" spans="1:10" x14ac:dyDescent="0.2">
      <c r="A428" s="9"/>
      <c r="B428" s="9"/>
      <c r="C428" s="10" t="s">
        <v>459</v>
      </c>
      <c r="D428" s="11" t="s">
        <v>346</v>
      </c>
      <c r="E428" s="1345">
        <v>0</v>
      </c>
      <c r="F428" s="1343">
        <f t="shared" si="110"/>
        <v>1248.45</v>
      </c>
      <c r="G428" s="1351" t="s">
        <v>777</v>
      </c>
      <c r="H428" s="1352">
        <v>1026.56</v>
      </c>
      <c r="I428" s="1348">
        <f t="shared" si="100"/>
        <v>0.82226761183867991</v>
      </c>
      <c r="J428" s="1344">
        <v>0</v>
      </c>
    </row>
    <row r="429" spans="1:10" x14ac:dyDescent="0.2">
      <c r="A429" s="9"/>
      <c r="B429" s="9"/>
      <c r="C429" s="10" t="s">
        <v>694</v>
      </c>
      <c r="D429" s="11" t="s">
        <v>349</v>
      </c>
      <c r="E429" s="1345">
        <v>0</v>
      </c>
      <c r="F429" s="1343">
        <f t="shared" si="110"/>
        <v>2613.0100000000002</v>
      </c>
      <c r="G429" s="1351" t="s">
        <v>778</v>
      </c>
      <c r="H429" s="1352">
        <v>1714.33</v>
      </c>
      <c r="I429" s="1348">
        <f t="shared" si="100"/>
        <v>0.65607479496825494</v>
      </c>
      <c r="J429" s="1344">
        <v>78.400000000000006</v>
      </c>
    </row>
    <row r="430" spans="1:10" x14ac:dyDescent="0.2">
      <c r="A430" s="9"/>
      <c r="B430" s="9"/>
      <c r="C430" s="10" t="s">
        <v>464</v>
      </c>
      <c r="D430" s="11" t="s">
        <v>349</v>
      </c>
      <c r="E430" s="1345">
        <v>0</v>
      </c>
      <c r="F430" s="1343">
        <f t="shared" si="110"/>
        <v>175.17</v>
      </c>
      <c r="G430" s="1351" t="s">
        <v>779</v>
      </c>
      <c r="H430" s="1352">
        <v>135.52000000000001</v>
      </c>
      <c r="I430" s="1348">
        <f t="shared" si="100"/>
        <v>0.77364845578580821</v>
      </c>
      <c r="J430" s="1344">
        <v>0</v>
      </c>
    </row>
    <row r="431" spans="1:10" x14ac:dyDescent="0.2">
      <c r="A431" s="9"/>
      <c r="B431" s="9"/>
      <c r="C431" s="10" t="s">
        <v>780</v>
      </c>
      <c r="D431" s="11" t="s">
        <v>743</v>
      </c>
      <c r="E431" s="1345">
        <v>0</v>
      </c>
      <c r="F431" s="1343">
        <f t="shared" si="110"/>
        <v>6523.2</v>
      </c>
      <c r="G431" s="1351" t="s">
        <v>781</v>
      </c>
      <c r="H431" s="1352">
        <v>4294.4399999999996</v>
      </c>
      <c r="I431" s="1348">
        <f t="shared" si="100"/>
        <v>0.65833333333333333</v>
      </c>
      <c r="J431" s="1344">
        <v>0</v>
      </c>
    </row>
    <row r="432" spans="1:10" x14ac:dyDescent="0.2">
      <c r="A432" s="9"/>
      <c r="B432" s="9"/>
      <c r="C432" s="10" t="s">
        <v>782</v>
      </c>
      <c r="D432" s="11" t="s">
        <v>364</v>
      </c>
      <c r="E432" s="1345">
        <v>0</v>
      </c>
      <c r="F432" s="1343">
        <f t="shared" si="110"/>
        <v>26522</v>
      </c>
      <c r="G432" s="1351" t="s">
        <v>783</v>
      </c>
      <c r="H432" s="1352">
        <v>20194.04</v>
      </c>
      <c r="I432" s="1348">
        <f t="shared" si="100"/>
        <v>0.76140713370032431</v>
      </c>
      <c r="J432" s="1344">
        <v>6560</v>
      </c>
    </row>
    <row r="433" spans="1:10" x14ac:dyDescent="0.2">
      <c r="A433" s="9"/>
      <c r="B433" s="9"/>
      <c r="C433" s="10" t="s">
        <v>698</v>
      </c>
      <c r="D433" s="11" t="s">
        <v>352</v>
      </c>
      <c r="E433" s="1345">
        <v>0</v>
      </c>
      <c r="F433" s="1343">
        <f t="shared" si="110"/>
        <v>16169.35</v>
      </c>
      <c r="G433" s="1351" t="s">
        <v>784</v>
      </c>
      <c r="H433" s="1352">
        <v>7878.87</v>
      </c>
      <c r="I433" s="1348">
        <f t="shared" si="100"/>
        <v>0.48727190641553308</v>
      </c>
      <c r="J433" s="1344">
        <v>0</v>
      </c>
    </row>
    <row r="434" spans="1:10" x14ac:dyDescent="0.2">
      <c r="A434" s="9"/>
      <c r="B434" s="9"/>
      <c r="C434" s="10" t="s">
        <v>700</v>
      </c>
      <c r="D434" s="11" t="s">
        <v>352</v>
      </c>
      <c r="E434" s="1345">
        <v>0</v>
      </c>
      <c r="F434" s="1343">
        <f t="shared" si="110"/>
        <v>221.05</v>
      </c>
      <c r="G434" s="1351" t="s">
        <v>785</v>
      </c>
      <c r="H434" s="1352">
        <v>221.05</v>
      </c>
      <c r="I434" s="1348">
        <f t="shared" si="100"/>
        <v>1</v>
      </c>
      <c r="J434" s="1344">
        <v>0</v>
      </c>
    </row>
    <row r="435" spans="1:10" x14ac:dyDescent="0.2">
      <c r="A435" s="9"/>
      <c r="B435" s="9"/>
      <c r="C435" s="10" t="s">
        <v>786</v>
      </c>
      <c r="D435" s="11" t="s">
        <v>473</v>
      </c>
      <c r="E435" s="1345">
        <v>0</v>
      </c>
      <c r="F435" s="1343">
        <f t="shared" si="110"/>
        <v>2000</v>
      </c>
      <c r="G435" s="1351" t="s">
        <v>126</v>
      </c>
      <c r="H435" s="1352">
        <v>1710</v>
      </c>
      <c r="I435" s="1348">
        <f t="shared" si="100"/>
        <v>0.85499999999999998</v>
      </c>
      <c r="J435" s="1344">
        <v>0</v>
      </c>
    </row>
    <row r="436" spans="1:10" x14ac:dyDescent="0.2">
      <c r="A436" s="9"/>
      <c r="B436" s="9"/>
      <c r="C436" s="10" t="s">
        <v>706</v>
      </c>
      <c r="D436" s="11" t="s">
        <v>355</v>
      </c>
      <c r="E436" s="1345">
        <v>0</v>
      </c>
      <c r="F436" s="1343">
        <f t="shared" si="110"/>
        <v>276241.87</v>
      </c>
      <c r="G436" s="1351" t="s">
        <v>787</v>
      </c>
      <c r="H436" s="1352">
        <v>105637.59</v>
      </c>
      <c r="I436" s="1348">
        <f t="shared" si="100"/>
        <v>0.38240977010472743</v>
      </c>
      <c r="J436" s="1344">
        <v>4272</v>
      </c>
    </row>
    <row r="437" spans="1:10" x14ac:dyDescent="0.2">
      <c r="A437" s="9"/>
      <c r="B437" s="9"/>
      <c r="C437" s="10" t="s">
        <v>408</v>
      </c>
      <c r="D437" s="11" t="s">
        <v>355</v>
      </c>
      <c r="E437" s="1345">
        <v>0</v>
      </c>
      <c r="F437" s="1343">
        <f t="shared" si="110"/>
        <v>11431.58</v>
      </c>
      <c r="G437" s="1351" t="s">
        <v>788</v>
      </c>
      <c r="H437" s="1352">
        <v>9084.2099999999991</v>
      </c>
      <c r="I437" s="1348">
        <f t="shared" si="100"/>
        <v>0.79465918097060939</v>
      </c>
      <c r="J437" s="1344">
        <v>0</v>
      </c>
    </row>
    <row r="438" spans="1:10" x14ac:dyDescent="0.2">
      <c r="A438" s="9"/>
      <c r="B438" s="9"/>
      <c r="C438" s="10" t="s">
        <v>789</v>
      </c>
      <c r="D438" s="11" t="s">
        <v>485</v>
      </c>
      <c r="E438" s="1345">
        <v>0</v>
      </c>
      <c r="F438" s="1343">
        <f t="shared" si="110"/>
        <v>17027.45</v>
      </c>
      <c r="G438" s="1351" t="s">
        <v>790</v>
      </c>
      <c r="H438" s="1352">
        <v>5779.63</v>
      </c>
      <c r="I438" s="1348">
        <f t="shared" si="100"/>
        <v>0.33943015542550409</v>
      </c>
      <c r="J438" s="1344">
        <v>0</v>
      </c>
    </row>
    <row r="439" spans="1:10" x14ac:dyDescent="0.2">
      <c r="A439" s="9"/>
      <c r="B439" s="9"/>
      <c r="C439" s="10" t="s">
        <v>791</v>
      </c>
      <c r="D439" s="11" t="s">
        <v>485</v>
      </c>
      <c r="E439" s="1345">
        <v>0</v>
      </c>
      <c r="F439" s="1343">
        <f t="shared" si="110"/>
        <v>530.53</v>
      </c>
      <c r="G439" s="1351" t="s">
        <v>792</v>
      </c>
      <c r="H439" s="1352">
        <v>421.53</v>
      </c>
      <c r="I439" s="1348">
        <f t="shared" si="100"/>
        <v>0.79454507756394543</v>
      </c>
      <c r="J439" s="1344">
        <v>0</v>
      </c>
    </row>
    <row r="440" spans="1:10" x14ac:dyDescent="0.2">
      <c r="A440" s="9"/>
      <c r="B440" s="9"/>
      <c r="C440" s="10" t="s">
        <v>793</v>
      </c>
      <c r="D440" s="11" t="s">
        <v>358</v>
      </c>
      <c r="E440" s="1345">
        <v>0</v>
      </c>
      <c r="F440" s="1343">
        <f t="shared" si="110"/>
        <v>250</v>
      </c>
      <c r="G440" s="1351" t="s">
        <v>242</v>
      </c>
      <c r="H440" s="1352">
        <v>0</v>
      </c>
      <c r="I440" s="1348">
        <f t="shared" si="100"/>
        <v>0</v>
      </c>
      <c r="J440" s="1344">
        <v>0</v>
      </c>
    </row>
    <row r="441" spans="1:10" x14ac:dyDescent="0.2">
      <c r="A441" s="9"/>
      <c r="B441" s="9"/>
      <c r="C441" s="10" t="s">
        <v>360</v>
      </c>
      <c r="D441" s="11" t="s">
        <v>361</v>
      </c>
      <c r="E441" s="1345">
        <v>0</v>
      </c>
      <c r="F441" s="1343">
        <f t="shared" si="110"/>
        <v>62000</v>
      </c>
      <c r="G441" s="1351" t="s">
        <v>297</v>
      </c>
      <c r="H441" s="1352">
        <v>61554.3</v>
      </c>
      <c r="I441" s="1348">
        <f t="shared" si="100"/>
        <v>0.99281129032258064</v>
      </c>
      <c r="J441" s="1344">
        <v>0</v>
      </c>
    </row>
    <row r="442" spans="1:10" x14ac:dyDescent="0.2">
      <c r="A442" s="1640" t="s">
        <v>276</v>
      </c>
      <c r="B442" s="1640"/>
      <c r="C442" s="1640"/>
      <c r="D442" s="1641" t="s">
        <v>277</v>
      </c>
      <c r="E442" s="1642">
        <f>E443+E455+E458</f>
        <v>1022755</v>
      </c>
      <c r="F442" s="1643">
        <f t="shared" ref="F442:J442" si="111">F443+F455+F458</f>
        <v>76633.320000000007</v>
      </c>
      <c r="G442" s="1644">
        <f t="shared" si="111"/>
        <v>1099388.3199999998</v>
      </c>
      <c r="H442" s="1644">
        <f t="shared" si="111"/>
        <v>1087981.96</v>
      </c>
      <c r="I442" s="1645">
        <f t="shared" si="100"/>
        <v>0.98962481245935019</v>
      </c>
      <c r="J442" s="1642">
        <f t="shared" si="111"/>
        <v>80074.84</v>
      </c>
    </row>
    <row r="443" spans="1:10" ht="15" x14ac:dyDescent="0.2">
      <c r="A443" s="8"/>
      <c r="B443" s="1632" t="s">
        <v>794</v>
      </c>
      <c r="C443" s="1633"/>
      <c r="D443" s="1634" t="s">
        <v>795</v>
      </c>
      <c r="E443" s="1635">
        <f>E444+E445+E446+E447+E448+E449+E450+E451+E452+E453+E454</f>
        <v>913155</v>
      </c>
      <c r="F443" s="1636">
        <f t="shared" ref="F443:J443" si="112">F444+F445+F446+F447+F448+F449+F450+F451+F452+F453+F454</f>
        <v>-53703.68</v>
      </c>
      <c r="G443" s="1637">
        <f t="shared" si="112"/>
        <v>859451.32</v>
      </c>
      <c r="H443" s="1637">
        <f t="shared" si="112"/>
        <v>848044.96</v>
      </c>
      <c r="I443" s="1639">
        <f t="shared" si="100"/>
        <v>0.98672832336798322</v>
      </c>
      <c r="J443" s="1635">
        <f t="shared" si="112"/>
        <v>80074.84</v>
      </c>
    </row>
    <row r="444" spans="1:10" x14ac:dyDescent="0.2">
      <c r="A444" s="9"/>
      <c r="B444" s="9"/>
      <c r="C444" s="10" t="s">
        <v>445</v>
      </c>
      <c r="D444" s="11" t="s">
        <v>446</v>
      </c>
      <c r="E444" s="1345">
        <v>1834</v>
      </c>
      <c r="F444" s="1343">
        <f>G444-E444</f>
        <v>0</v>
      </c>
      <c r="G444" s="1351" t="s">
        <v>796</v>
      </c>
      <c r="H444" s="1352">
        <v>1469.22</v>
      </c>
      <c r="I444" s="1348">
        <f t="shared" si="100"/>
        <v>0.80110141766630316</v>
      </c>
      <c r="J444" s="1344">
        <v>56.17</v>
      </c>
    </row>
    <row r="445" spans="1:10" x14ac:dyDescent="0.2">
      <c r="A445" s="9"/>
      <c r="B445" s="9"/>
      <c r="C445" s="10" t="s">
        <v>342</v>
      </c>
      <c r="D445" s="11" t="s">
        <v>343</v>
      </c>
      <c r="E445" s="1345">
        <v>648961</v>
      </c>
      <c r="F445" s="1343">
        <f t="shared" ref="F445:F454" si="113">G445-E445</f>
        <v>-37631</v>
      </c>
      <c r="G445" s="1351" t="s">
        <v>797</v>
      </c>
      <c r="H445" s="1352">
        <v>606109.68999999994</v>
      </c>
      <c r="I445" s="1348">
        <f t="shared" si="100"/>
        <v>0.9914607331555787</v>
      </c>
      <c r="J445" s="1344">
        <v>9838.14</v>
      </c>
    </row>
    <row r="446" spans="1:10" x14ac:dyDescent="0.2">
      <c r="A446" s="9"/>
      <c r="B446" s="9"/>
      <c r="C446" s="10" t="s">
        <v>453</v>
      </c>
      <c r="D446" s="11" t="s">
        <v>454</v>
      </c>
      <c r="E446" s="1345">
        <v>53792</v>
      </c>
      <c r="F446" s="1343">
        <f t="shared" si="113"/>
        <v>-7127.8099999999977</v>
      </c>
      <c r="G446" s="1351" t="s">
        <v>798</v>
      </c>
      <c r="H446" s="1352">
        <v>46662.58</v>
      </c>
      <c r="I446" s="1348">
        <f t="shared" si="100"/>
        <v>0.99996549816893854</v>
      </c>
      <c r="J446" s="1344">
        <v>53687.72</v>
      </c>
    </row>
    <row r="447" spans="1:10" x14ac:dyDescent="0.2">
      <c r="A447" s="9"/>
      <c r="B447" s="9"/>
      <c r="C447" s="10" t="s">
        <v>345</v>
      </c>
      <c r="D447" s="11" t="s">
        <v>346</v>
      </c>
      <c r="E447" s="1345">
        <v>119808</v>
      </c>
      <c r="F447" s="1343">
        <f t="shared" si="113"/>
        <v>-5832</v>
      </c>
      <c r="G447" s="1351" t="s">
        <v>799</v>
      </c>
      <c r="H447" s="1352">
        <v>113194.41</v>
      </c>
      <c r="I447" s="1348">
        <f t="shared" si="100"/>
        <v>0.99314250368498636</v>
      </c>
      <c r="J447" s="1344">
        <v>14560.83</v>
      </c>
    </row>
    <row r="448" spans="1:10" x14ac:dyDescent="0.2">
      <c r="A448" s="9"/>
      <c r="B448" s="9"/>
      <c r="C448" s="10" t="s">
        <v>348</v>
      </c>
      <c r="D448" s="11" t="s">
        <v>349</v>
      </c>
      <c r="E448" s="1345">
        <v>17105</v>
      </c>
      <c r="F448" s="1343">
        <f t="shared" si="113"/>
        <v>-2812.8700000000008</v>
      </c>
      <c r="G448" s="1351" t="s">
        <v>800</v>
      </c>
      <c r="H448" s="1352">
        <v>14161.77</v>
      </c>
      <c r="I448" s="1348">
        <f t="shared" si="100"/>
        <v>0.99087889628767734</v>
      </c>
      <c r="J448" s="1344">
        <v>1931.98</v>
      </c>
    </row>
    <row r="449" spans="1:10" x14ac:dyDescent="0.2">
      <c r="A449" s="9"/>
      <c r="B449" s="9"/>
      <c r="C449" s="10" t="s">
        <v>351</v>
      </c>
      <c r="D449" s="11" t="s">
        <v>352</v>
      </c>
      <c r="E449" s="1345">
        <v>15400</v>
      </c>
      <c r="F449" s="1343">
        <f t="shared" si="113"/>
        <v>0</v>
      </c>
      <c r="G449" s="1351" t="s">
        <v>801</v>
      </c>
      <c r="H449" s="1352">
        <v>11270.81</v>
      </c>
      <c r="I449" s="1348">
        <f t="shared" si="100"/>
        <v>0.73187077922077914</v>
      </c>
      <c r="J449" s="1344">
        <v>0</v>
      </c>
    </row>
    <row r="450" spans="1:10" x14ac:dyDescent="0.2">
      <c r="A450" s="9"/>
      <c r="B450" s="9"/>
      <c r="C450" s="10" t="s">
        <v>573</v>
      </c>
      <c r="D450" s="11" t="s">
        <v>574</v>
      </c>
      <c r="E450" s="1345">
        <v>7000</v>
      </c>
      <c r="F450" s="1343">
        <f t="shared" si="113"/>
        <v>-300</v>
      </c>
      <c r="G450" s="1351" t="s">
        <v>802</v>
      </c>
      <c r="H450" s="1352">
        <v>6493.07</v>
      </c>
      <c r="I450" s="1348">
        <f t="shared" si="100"/>
        <v>0.96911492537313426</v>
      </c>
      <c r="J450" s="1344">
        <v>0</v>
      </c>
    </row>
    <row r="451" spans="1:10" x14ac:dyDescent="0.2">
      <c r="A451" s="9"/>
      <c r="B451" s="9"/>
      <c r="C451" s="10" t="s">
        <v>367</v>
      </c>
      <c r="D451" s="11" t="s">
        <v>368</v>
      </c>
      <c r="E451" s="1345">
        <v>6500</v>
      </c>
      <c r="F451" s="1343">
        <f t="shared" si="113"/>
        <v>0</v>
      </c>
      <c r="G451" s="1351" t="s">
        <v>447</v>
      </c>
      <c r="H451" s="1352">
        <v>6500</v>
      </c>
      <c r="I451" s="1348">
        <f t="shared" si="100"/>
        <v>1</v>
      </c>
      <c r="J451" s="1344">
        <v>0</v>
      </c>
    </row>
    <row r="452" spans="1:10" x14ac:dyDescent="0.2">
      <c r="A452" s="9"/>
      <c r="B452" s="9"/>
      <c r="C452" s="10" t="s">
        <v>381</v>
      </c>
      <c r="D452" s="11" t="s">
        <v>382</v>
      </c>
      <c r="E452" s="1345">
        <v>2500</v>
      </c>
      <c r="F452" s="1343">
        <f t="shared" si="113"/>
        <v>0</v>
      </c>
      <c r="G452" s="1351" t="s">
        <v>803</v>
      </c>
      <c r="H452" s="1352">
        <v>2401.17</v>
      </c>
      <c r="I452" s="1348">
        <f t="shared" si="100"/>
        <v>0.96046799999999999</v>
      </c>
      <c r="J452" s="1344">
        <v>0</v>
      </c>
    </row>
    <row r="453" spans="1:10" x14ac:dyDescent="0.2">
      <c r="A453" s="9"/>
      <c r="B453" s="9"/>
      <c r="C453" s="10" t="s">
        <v>354</v>
      </c>
      <c r="D453" s="11" t="s">
        <v>355</v>
      </c>
      <c r="E453" s="1345">
        <v>3200</v>
      </c>
      <c r="F453" s="1343">
        <f t="shared" si="113"/>
        <v>0</v>
      </c>
      <c r="G453" s="1351" t="s">
        <v>326</v>
      </c>
      <c r="H453" s="1352">
        <v>2727.24</v>
      </c>
      <c r="I453" s="1348">
        <f t="shared" si="100"/>
        <v>0.85226249999999992</v>
      </c>
      <c r="J453" s="1344">
        <v>0</v>
      </c>
    </row>
    <row r="454" spans="1:10" ht="22.5" x14ac:dyDescent="0.2">
      <c r="A454" s="9"/>
      <c r="B454" s="9"/>
      <c r="C454" s="10" t="s">
        <v>489</v>
      </c>
      <c r="D454" s="11" t="s">
        <v>490</v>
      </c>
      <c r="E454" s="1345">
        <v>37055</v>
      </c>
      <c r="F454" s="1343">
        <f t="shared" si="113"/>
        <v>0</v>
      </c>
      <c r="G454" s="1351" t="s">
        <v>804</v>
      </c>
      <c r="H454" s="1352">
        <v>37055</v>
      </c>
      <c r="I454" s="1348">
        <f t="shared" si="100"/>
        <v>1</v>
      </c>
      <c r="J454" s="1344">
        <v>0</v>
      </c>
    </row>
    <row r="455" spans="1:10" ht="22.5" x14ac:dyDescent="0.2">
      <c r="A455" s="8"/>
      <c r="B455" s="1632" t="s">
        <v>278</v>
      </c>
      <c r="C455" s="1633"/>
      <c r="D455" s="1634" t="s">
        <v>279</v>
      </c>
      <c r="E455" s="1635">
        <f>E456+E457</f>
        <v>100000</v>
      </c>
      <c r="F455" s="1636">
        <f t="shared" ref="F455:J455" si="114">F456+F457</f>
        <v>131737</v>
      </c>
      <c r="G455" s="1637">
        <f t="shared" si="114"/>
        <v>231737</v>
      </c>
      <c r="H455" s="1637">
        <f t="shared" si="114"/>
        <v>231737</v>
      </c>
      <c r="I455" s="1639">
        <f t="shared" ref="I455:I517" si="115">H455/G455</f>
        <v>1</v>
      </c>
      <c r="J455" s="1635">
        <f t="shared" si="114"/>
        <v>0</v>
      </c>
    </row>
    <row r="456" spans="1:10" x14ac:dyDescent="0.2">
      <c r="A456" s="9"/>
      <c r="B456" s="9"/>
      <c r="C456" s="10" t="s">
        <v>805</v>
      </c>
      <c r="D456" s="11" t="s">
        <v>684</v>
      </c>
      <c r="E456" s="1345">
        <v>100000</v>
      </c>
      <c r="F456" s="1343">
        <f>G456-E456</f>
        <v>131292</v>
      </c>
      <c r="G456" s="1351" t="s">
        <v>806</v>
      </c>
      <c r="H456" s="1352">
        <v>231292</v>
      </c>
      <c r="I456" s="1348">
        <f t="shared" si="115"/>
        <v>1</v>
      </c>
      <c r="J456" s="1344">
        <v>0</v>
      </c>
    </row>
    <row r="457" spans="1:10" x14ac:dyDescent="0.2">
      <c r="A457" s="9"/>
      <c r="B457" s="9"/>
      <c r="C457" s="10" t="s">
        <v>807</v>
      </c>
      <c r="D457" s="11" t="s">
        <v>808</v>
      </c>
      <c r="E457" s="1345">
        <v>0</v>
      </c>
      <c r="F457" s="1343">
        <f>G457-E457</f>
        <v>445</v>
      </c>
      <c r="G457" s="1351" t="s">
        <v>283</v>
      </c>
      <c r="H457" s="1352">
        <v>445</v>
      </c>
      <c r="I457" s="1348">
        <f t="shared" si="115"/>
        <v>1</v>
      </c>
      <c r="J457" s="1344">
        <v>0</v>
      </c>
    </row>
    <row r="458" spans="1:10" ht="22.5" x14ac:dyDescent="0.2">
      <c r="A458" s="8"/>
      <c r="B458" s="1632" t="s">
        <v>809</v>
      </c>
      <c r="C458" s="1633"/>
      <c r="D458" s="1634" t="s">
        <v>810</v>
      </c>
      <c r="E458" s="1635">
        <f>E459</f>
        <v>9600</v>
      </c>
      <c r="F458" s="1636">
        <f t="shared" ref="F458:J458" si="116">F459</f>
        <v>-1400</v>
      </c>
      <c r="G458" s="1637" t="str">
        <f t="shared" si="116"/>
        <v>8 200,00</v>
      </c>
      <c r="H458" s="1637">
        <f t="shared" si="116"/>
        <v>8200</v>
      </c>
      <c r="I458" s="1639">
        <f t="shared" si="115"/>
        <v>1</v>
      </c>
      <c r="J458" s="1635">
        <f t="shared" si="116"/>
        <v>0</v>
      </c>
    </row>
    <row r="459" spans="1:10" x14ac:dyDescent="0.2">
      <c r="A459" s="9"/>
      <c r="B459" s="9"/>
      <c r="C459" s="10" t="s">
        <v>805</v>
      </c>
      <c r="D459" s="11" t="s">
        <v>684</v>
      </c>
      <c r="E459" s="1345">
        <v>9600</v>
      </c>
      <c r="F459" s="1343">
        <f>G459-E459</f>
        <v>-1400</v>
      </c>
      <c r="G459" s="1351" t="s">
        <v>811</v>
      </c>
      <c r="H459" s="1352">
        <v>8200</v>
      </c>
      <c r="I459" s="1348">
        <f t="shared" si="115"/>
        <v>1</v>
      </c>
      <c r="J459" s="1344">
        <v>0</v>
      </c>
    </row>
    <row r="460" spans="1:10" x14ac:dyDescent="0.2">
      <c r="A460" s="1640" t="s">
        <v>284</v>
      </c>
      <c r="B460" s="1640"/>
      <c r="C460" s="1640"/>
      <c r="D460" s="1641" t="s">
        <v>285</v>
      </c>
      <c r="E460" s="1642">
        <f>E461+E477+E492+E496+E505+E507+E509</f>
        <v>20069250</v>
      </c>
      <c r="F460" s="1643">
        <f t="shared" ref="F460:J460" si="117">F461+F477+F492+F496+F505+F507+F509</f>
        <v>3091025.94</v>
      </c>
      <c r="G460" s="1644">
        <f t="shared" si="117"/>
        <v>23160275.940000001</v>
      </c>
      <c r="H460" s="1644">
        <f t="shared" si="117"/>
        <v>22770225.699999999</v>
      </c>
      <c r="I460" s="1645">
        <f t="shared" si="115"/>
        <v>0.98315865316067552</v>
      </c>
      <c r="J460" s="1642">
        <f t="shared" si="117"/>
        <v>50651.13</v>
      </c>
    </row>
    <row r="461" spans="1:10" ht="15" x14ac:dyDescent="0.2">
      <c r="A461" s="8"/>
      <c r="B461" s="1632" t="s">
        <v>286</v>
      </c>
      <c r="C461" s="1633"/>
      <c r="D461" s="1634" t="s">
        <v>287</v>
      </c>
      <c r="E461" s="1635">
        <f>E462+E463+E464+E465+E466+E467+E468+E469+E470+E471+E472+E473+E474+E475+E476</f>
        <v>12044539</v>
      </c>
      <c r="F461" s="1636">
        <f t="shared" ref="F461:J461" si="118">F462+F463+F464+F465+F466+F467+F468+F469+F470+F471+F472+F473+F474+F475+F476</f>
        <v>2901461</v>
      </c>
      <c r="G461" s="1637">
        <f t="shared" si="118"/>
        <v>14946000</v>
      </c>
      <c r="H461" s="1637">
        <f t="shared" si="118"/>
        <v>14623915.780000001</v>
      </c>
      <c r="I461" s="1639">
        <f t="shared" si="115"/>
        <v>0.97845013916767032</v>
      </c>
      <c r="J461" s="1635">
        <f t="shared" si="118"/>
        <v>18610.430000000004</v>
      </c>
    </row>
    <row r="462" spans="1:10" ht="56.25" x14ac:dyDescent="0.2">
      <c r="A462" s="9"/>
      <c r="B462" s="9"/>
      <c r="C462" s="10" t="s">
        <v>240</v>
      </c>
      <c r="D462" s="11" t="s">
        <v>740</v>
      </c>
      <c r="E462" s="1345">
        <v>0</v>
      </c>
      <c r="F462" s="1343">
        <f>G462-E462</f>
        <v>15000</v>
      </c>
      <c r="G462" s="1351" t="s">
        <v>29</v>
      </c>
      <c r="H462" s="1352">
        <v>6800</v>
      </c>
      <c r="I462" s="1348">
        <f t="shared" si="115"/>
        <v>0.45333333333333331</v>
      </c>
      <c r="J462" s="1344">
        <v>0</v>
      </c>
    </row>
    <row r="463" spans="1:10" x14ac:dyDescent="0.2">
      <c r="A463" s="9"/>
      <c r="B463" s="9"/>
      <c r="C463" s="10" t="s">
        <v>243</v>
      </c>
      <c r="D463" s="11" t="s">
        <v>741</v>
      </c>
      <c r="E463" s="1345">
        <v>0</v>
      </c>
      <c r="F463" s="1343">
        <f t="shared" ref="F463:F476" si="119">G463-E463</f>
        <v>0</v>
      </c>
      <c r="G463" s="1351" t="s">
        <v>7</v>
      </c>
      <c r="H463" s="1352">
        <v>0</v>
      </c>
      <c r="I463" s="1348">
        <v>0</v>
      </c>
      <c r="J463" s="1344">
        <v>0</v>
      </c>
    </row>
    <row r="464" spans="1:10" x14ac:dyDescent="0.2">
      <c r="A464" s="9"/>
      <c r="B464" s="9"/>
      <c r="C464" s="10" t="s">
        <v>746</v>
      </c>
      <c r="D464" s="11" t="s">
        <v>747</v>
      </c>
      <c r="E464" s="1345">
        <v>11862509</v>
      </c>
      <c r="F464" s="1343">
        <f t="shared" si="119"/>
        <v>2861223</v>
      </c>
      <c r="G464" s="1351" t="s">
        <v>812</v>
      </c>
      <c r="H464" s="1352">
        <v>14419659.060000001</v>
      </c>
      <c r="I464" s="1348">
        <f t="shared" si="115"/>
        <v>0.97934810685225737</v>
      </c>
      <c r="J464" s="1344">
        <v>9709.9</v>
      </c>
    </row>
    <row r="465" spans="1:10" x14ac:dyDescent="0.2">
      <c r="A465" s="9"/>
      <c r="B465" s="9"/>
      <c r="C465" s="10" t="s">
        <v>342</v>
      </c>
      <c r="D465" s="11" t="s">
        <v>343</v>
      </c>
      <c r="E465" s="1345">
        <v>60000</v>
      </c>
      <c r="F465" s="1343">
        <f t="shared" si="119"/>
        <v>52000</v>
      </c>
      <c r="G465" s="1351" t="s">
        <v>813</v>
      </c>
      <c r="H465" s="1352">
        <v>103134.77</v>
      </c>
      <c r="I465" s="1348">
        <f t="shared" si="115"/>
        <v>0.92084616071428571</v>
      </c>
      <c r="J465" s="1344">
        <v>0</v>
      </c>
    </row>
    <row r="466" spans="1:10" x14ac:dyDescent="0.2">
      <c r="A466" s="9"/>
      <c r="B466" s="9"/>
      <c r="C466" s="10" t="s">
        <v>453</v>
      </c>
      <c r="D466" s="11" t="s">
        <v>454</v>
      </c>
      <c r="E466" s="1345">
        <v>6000</v>
      </c>
      <c r="F466" s="1343">
        <f t="shared" si="119"/>
        <v>0</v>
      </c>
      <c r="G466" s="1351" t="s">
        <v>47</v>
      </c>
      <c r="H466" s="1352">
        <v>6000</v>
      </c>
      <c r="I466" s="1348">
        <f t="shared" si="115"/>
        <v>1</v>
      </c>
      <c r="J466" s="1344">
        <v>7422.68</v>
      </c>
    </row>
    <row r="467" spans="1:10" x14ac:dyDescent="0.2">
      <c r="A467" s="9"/>
      <c r="B467" s="9"/>
      <c r="C467" s="10" t="s">
        <v>345</v>
      </c>
      <c r="D467" s="11" t="s">
        <v>346</v>
      </c>
      <c r="E467" s="1345">
        <v>12222</v>
      </c>
      <c r="F467" s="1343">
        <f t="shared" si="119"/>
        <v>7778</v>
      </c>
      <c r="G467" s="1351" t="s">
        <v>102</v>
      </c>
      <c r="H467" s="1352">
        <v>20000</v>
      </c>
      <c r="I467" s="1348">
        <f t="shared" si="115"/>
        <v>1</v>
      </c>
      <c r="J467" s="1344">
        <v>1295.99</v>
      </c>
    </row>
    <row r="468" spans="1:10" x14ac:dyDescent="0.2">
      <c r="A468" s="9"/>
      <c r="B468" s="9"/>
      <c r="C468" s="10" t="s">
        <v>348</v>
      </c>
      <c r="D468" s="11" t="s">
        <v>349</v>
      </c>
      <c r="E468" s="1345">
        <v>1715</v>
      </c>
      <c r="F468" s="1343">
        <f t="shared" si="119"/>
        <v>475</v>
      </c>
      <c r="G468" s="1351" t="s">
        <v>814</v>
      </c>
      <c r="H468" s="1352">
        <v>2190</v>
      </c>
      <c r="I468" s="1348">
        <f t="shared" si="115"/>
        <v>1</v>
      </c>
      <c r="J468" s="1344">
        <v>181.86</v>
      </c>
    </row>
    <row r="469" spans="1:10" x14ac:dyDescent="0.2">
      <c r="A469" s="9"/>
      <c r="B469" s="9"/>
      <c r="C469" s="10" t="s">
        <v>363</v>
      </c>
      <c r="D469" s="11" t="s">
        <v>364</v>
      </c>
      <c r="E469" s="1345">
        <v>10000</v>
      </c>
      <c r="F469" s="1343">
        <f t="shared" si="119"/>
        <v>-6000</v>
      </c>
      <c r="G469" s="1351" t="s">
        <v>210</v>
      </c>
      <c r="H469" s="1352">
        <v>4000</v>
      </c>
      <c r="I469" s="1348">
        <f t="shared" si="115"/>
        <v>1</v>
      </c>
      <c r="J469" s="1344">
        <v>0</v>
      </c>
    </row>
    <row r="470" spans="1:10" x14ac:dyDescent="0.2">
      <c r="A470" s="9"/>
      <c r="B470" s="9"/>
      <c r="C470" s="10" t="s">
        <v>351</v>
      </c>
      <c r="D470" s="11" t="s">
        <v>352</v>
      </c>
      <c r="E470" s="1345">
        <v>30000</v>
      </c>
      <c r="F470" s="1343">
        <f t="shared" si="119"/>
        <v>-10000</v>
      </c>
      <c r="G470" s="1351" t="s">
        <v>102</v>
      </c>
      <c r="H470" s="1352">
        <v>20000</v>
      </c>
      <c r="I470" s="1348">
        <f t="shared" si="115"/>
        <v>1</v>
      </c>
      <c r="J470" s="1344">
        <v>0</v>
      </c>
    </row>
    <row r="471" spans="1:10" x14ac:dyDescent="0.2">
      <c r="A471" s="9"/>
      <c r="B471" s="9"/>
      <c r="C471" s="10" t="s">
        <v>367</v>
      </c>
      <c r="D471" s="11" t="s">
        <v>368</v>
      </c>
      <c r="E471" s="1345">
        <v>20000</v>
      </c>
      <c r="F471" s="1343">
        <f t="shared" si="119"/>
        <v>-18398</v>
      </c>
      <c r="G471" s="1351" t="s">
        <v>815</v>
      </c>
      <c r="H471" s="1352">
        <v>1602</v>
      </c>
      <c r="I471" s="1348">
        <f t="shared" si="115"/>
        <v>1</v>
      </c>
      <c r="J471" s="1344">
        <v>0</v>
      </c>
    </row>
    <row r="472" spans="1:10" x14ac:dyDescent="0.2">
      <c r="A472" s="9"/>
      <c r="B472" s="9"/>
      <c r="C472" s="10" t="s">
        <v>354</v>
      </c>
      <c r="D472" s="11" t="s">
        <v>355</v>
      </c>
      <c r="E472" s="1345">
        <v>35000</v>
      </c>
      <c r="F472" s="1343">
        <f t="shared" si="119"/>
        <v>0</v>
      </c>
      <c r="G472" s="1351" t="s">
        <v>261</v>
      </c>
      <c r="H472" s="1352">
        <v>35000</v>
      </c>
      <c r="I472" s="1348">
        <f t="shared" si="115"/>
        <v>1</v>
      </c>
      <c r="J472" s="1344">
        <v>0</v>
      </c>
    </row>
    <row r="473" spans="1:10" x14ac:dyDescent="0.2">
      <c r="A473" s="9"/>
      <c r="B473" s="9"/>
      <c r="C473" s="10" t="s">
        <v>475</v>
      </c>
      <c r="D473" s="11" t="s">
        <v>476</v>
      </c>
      <c r="E473" s="1345">
        <v>2000</v>
      </c>
      <c r="F473" s="1343">
        <f t="shared" si="119"/>
        <v>-1000</v>
      </c>
      <c r="G473" s="1351" t="s">
        <v>95</v>
      </c>
      <c r="H473" s="1352">
        <v>1000</v>
      </c>
      <c r="I473" s="1348">
        <f t="shared" si="115"/>
        <v>1</v>
      </c>
      <c r="J473" s="1344">
        <v>0</v>
      </c>
    </row>
    <row r="474" spans="1:10" ht="22.5" x14ac:dyDescent="0.2">
      <c r="A474" s="9"/>
      <c r="B474" s="9"/>
      <c r="C474" s="10" t="s">
        <v>489</v>
      </c>
      <c r="D474" s="11" t="s">
        <v>490</v>
      </c>
      <c r="E474" s="1345">
        <v>1093</v>
      </c>
      <c r="F474" s="1343">
        <f t="shared" si="119"/>
        <v>783</v>
      </c>
      <c r="G474" s="1351" t="s">
        <v>816</v>
      </c>
      <c r="H474" s="1352">
        <v>1876</v>
      </c>
      <c r="I474" s="1348">
        <f t="shared" si="115"/>
        <v>1</v>
      </c>
      <c r="J474" s="1344">
        <v>0</v>
      </c>
    </row>
    <row r="475" spans="1:10" ht="56.25" x14ac:dyDescent="0.2">
      <c r="A475" s="9"/>
      <c r="B475" s="9"/>
      <c r="C475" s="10" t="s">
        <v>817</v>
      </c>
      <c r="D475" s="11" t="s">
        <v>818</v>
      </c>
      <c r="E475" s="1345">
        <v>0</v>
      </c>
      <c r="F475" s="1343">
        <f t="shared" si="119"/>
        <v>1000</v>
      </c>
      <c r="G475" s="1351" t="s">
        <v>95</v>
      </c>
      <c r="H475" s="1352">
        <v>74.88</v>
      </c>
      <c r="I475" s="1348">
        <f t="shared" si="115"/>
        <v>7.4880000000000002E-2</v>
      </c>
      <c r="J475" s="1344">
        <v>0</v>
      </c>
    </row>
    <row r="476" spans="1:10" ht="22.5" x14ac:dyDescent="0.2">
      <c r="A476" s="9"/>
      <c r="B476" s="9"/>
      <c r="C476" s="10" t="s">
        <v>433</v>
      </c>
      <c r="D476" s="11" t="s">
        <v>434</v>
      </c>
      <c r="E476" s="1345">
        <v>4000</v>
      </c>
      <c r="F476" s="1343">
        <f t="shared" si="119"/>
        <v>-1400</v>
      </c>
      <c r="G476" s="1351" t="s">
        <v>819</v>
      </c>
      <c r="H476" s="1352">
        <v>2579.0700000000002</v>
      </c>
      <c r="I476" s="1348">
        <f t="shared" si="115"/>
        <v>0.99195000000000011</v>
      </c>
      <c r="J476" s="1344">
        <v>0</v>
      </c>
    </row>
    <row r="477" spans="1:10" ht="56.25" x14ac:dyDescent="0.2">
      <c r="A477" s="8"/>
      <c r="B477" s="1632" t="s">
        <v>293</v>
      </c>
      <c r="C477" s="1633"/>
      <c r="D477" s="1634" t="s">
        <v>294</v>
      </c>
      <c r="E477" s="1635">
        <f>E478+E479+E480+E481+E482+E483+E484+E485+E486+E487+E488+E489+E490+E491</f>
        <v>7649950</v>
      </c>
      <c r="F477" s="1636">
        <f t="shared" ref="F477:J477" si="120">F478+F479+F480+F481+F482+F483+F484+F485+F486+F487+F488+F489+F490+F491</f>
        <v>162114.00000000003</v>
      </c>
      <c r="G477" s="1637">
        <f t="shared" si="120"/>
        <v>7812064</v>
      </c>
      <c r="H477" s="1637">
        <f t="shared" si="120"/>
        <v>7757188.6399999987</v>
      </c>
      <c r="I477" s="1639">
        <f t="shared" si="115"/>
        <v>0.99297556190015834</v>
      </c>
      <c r="J477" s="1635">
        <f t="shared" si="120"/>
        <v>24294.239999999998</v>
      </c>
    </row>
    <row r="478" spans="1:10" ht="56.25" x14ac:dyDescent="0.2">
      <c r="A478" s="9"/>
      <c r="B478" s="9"/>
      <c r="C478" s="10" t="s">
        <v>240</v>
      </c>
      <c r="D478" s="11" t="s">
        <v>740</v>
      </c>
      <c r="E478" s="1345">
        <v>9000</v>
      </c>
      <c r="F478" s="1343">
        <f>G478-E478</f>
        <v>21000</v>
      </c>
      <c r="G478" s="1351" t="s">
        <v>138</v>
      </c>
      <c r="H478" s="1352">
        <v>24012.87</v>
      </c>
      <c r="I478" s="1348">
        <f t="shared" si="115"/>
        <v>0.80042899999999995</v>
      </c>
      <c r="J478" s="1344">
        <v>0</v>
      </c>
    </row>
    <row r="479" spans="1:10" x14ac:dyDescent="0.2">
      <c r="A479" s="9"/>
      <c r="B479" s="9"/>
      <c r="C479" s="10" t="s">
        <v>243</v>
      </c>
      <c r="D479" s="11" t="s">
        <v>741</v>
      </c>
      <c r="E479" s="1345">
        <v>0</v>
      </c>
      <c r="F479" s="1343">
        <f t="shared" ref="F479:F491" si="121">G479-E479</f>
        <v>0</v>
      </c>
      <c r="G479" s="1351" t="s">
        <v>7</v>
      </c>
      <c r="H479" s="1352">
        <v>0</v>
      </c>
      <c r="I479" s="1348">
        <v>0</v>
      </c>
      <c r="J479" s="1344">
        <v>0</v>
      </c>
    </row>
    <row r="480" spans="1:10" x14ac:dyDescent="0.2">
      <c r="A480" s="9"/>
      <c r="B480" s="9"/>
      <c r="C480" s="10" t="s">
        <v>746</v>
      </c>
      <c r="D480" s="11" t="s">
        <v>747</v>
      </c>
      <c r="E480" s="1345">
        <v>7183897</v>
      </c>
      <c r="F480" s="1343">
        <f t="shared" si="121"/>
        <v>119094</v>
      </c>
      <c r="G480" s="1351" t="s">
        <v>820</v>
      </c>
      <c r="H480" s="1352">
        <v>7275541.4900000002</v>
      </c>
      <c r="I480" s="1348">
        <f t="shared" si="115"/>
        <v>0.99624133317431174</v>
      </c>
      <c r="J480" s="1344">
        <v>13836.87</v>
      </c>
    </row>
    <row r="481" spans="1:10" x14ac:dyDescent="0.2">
      <c r="A481" s="9"/>
      <c r="B481" s="9"/>
      <c r="C481" s="10" t="s">
        <v>342</v>
      </c>
      <c r="D481" s="11" t="s">
        <v>343</v>
      </c>
      <c r="E481" s="1345">
        <v>142348</v>
      </c>
      <c r="F481" s="1343">
        <f t="shared" si="121"/>
        <v>-960.20999999999185</v>
      </c>
      <c r="G481" s="1351" t="s">
        <v>821</v>
      </c>
      <c r="H481" s="1352">
        <v>136398.06</v>
      </c>
      <c r="I481" s="1348">
        <f t="shared" si="115"/>
        <v>0.96470890449592561</v>
      </c>
      <c r="J481" s="1344">
        <v>0</v>
      </c>
    </row>
    <row r="482" spans="1:10" x14ac:dyDescent="0.2">
      <c r="A482" s="9"/>
      <c r="B482" s="9"/>
      <c r="C482" s="10" t="s">
        <v>453</v>
      </c>
      <c r="D482" s="11" t="s">
        <v>454</v>
      </c>
      <c r="E482" s="1345">
        <v>8969</v>
      </c>
      <c r="F482" s="1343">
        <f t="shared" si="121"/>
        <v>0</v>
      </c>
      <c r="G482" s="1351" t="s">
        <v>822</v>
      </c>
      <c r="H482" s="1352">
        <v>8969</v>
      </c>
      <c r="I482" s="1348">
        <f t="shared" si="115"/>
        <v>1</v>
      </c>
      <c r="J482" s="1344">
        <v>8816.5499999999993</v>
      </c>
    </row>
    <row r="483" spans="1:10" x14ac:dyDescent="0.2">
      <c r="A483" s="9"/>
      <c r="B483" s="9"/>
      <c r="C483" s="10" t="s">
        <v>345</v>
      </c>
      <c r="D483" s="11" t="s">
        <v>346</v>
      </c>
      <c r="E483" s="1345">
        <v>250000</v>
      </c>
      <c r="F483" s="1343">
        <f t="shared" si="121"/>
        <v>27647.710000000021</v>
      </c>
      <c r="G483" s="1351" t="s">
        <v>823</v>
      </c>
      <c r="H483" s="1352">
        <v>266473.75</v>
      </c>
      <c r="I483" s="1348">
        <f t="shared" si="115"/>
        <v>0.95975489947314885</v>
      </c>
      <c r="J483" s="1344">
        <v>1539.38</v>
      </c>
    </row>
    <row r="484" spans="1:10" x14ac:dyDescent="0.2">
      <c r="A484" s="9"/>
      <c r="B484" s="9"/>
      <c r="C484" s="10" t="s">
        <v>348</v>
      </c>
      <c r="D484" s="11" t="s">
        <v>349</v>
      </c>
      <c r="E484" s="1345">
        <v>3707</v>
      </c>
      <c r="F484" s="1343">
        <f t="shared" si="121"/>
        <v>-1197.5</v>
      </c>
      <c r="G484" s="1351" t="s">
        <v>824</v>
      </c>
      <c r="H484" s="1352">
        <v>2300.27</v>
      </c>
      <c r="I484" s="1348">
        <f t="shared" si="115"/>
        <v>0.9166248256624826</v>
      </c>
      <c r="J484" s="1344">
        <v>101.44</v>
      </c>
    </row>
    <row r="485" spans="1:10" x14ac:dyDescent="0.2">
      <c r="A485" s="9"/>
      <c r="B485" s="9"/>
      <c r="C485" s="10" t="s">
        <v>351</v>
      </c>
      <c r="D485" s="11" t="s">
        <v>352</v>
      </c>
      <c r="E485" s="1345">
        <v>12000</v>
      </c>
      <c r="F485" s="1343">
        <f t="shared" si="121"/>
        <v>-2990</v>
      </c>
      <c r="G485" s="1351" t="s">
        <v>825</v>
      </c>
      <c r="H485" s="1352">
        <v>7118.76</v>
      </c>
      <c r="I485" s="1348">
        <f t="shared" si="115"/>
        <v>0.79009544950055499</v>
      </c>
      <c r="J485" s="1344">
        <v>0</v>
      </c>
    </row>
    <row r="486" spans="1:10" x14ac:dyDescent="0.2">
      <c r="A486" s="9"/>
      <c r="B486" s="9"/>
      <c r="C486" s="10" t="s">
        <v>367</v>
      </c>
      <c r="D486" s="11" t="s">
        <v>368</v>
      </c>
      <c r="E486" s="1345">
        <v>10000</v>
      </c>
      <c r="F486" s="1343">
        <f t="shared" si="121"/>
        <v>-5980</v>
      </c>
      <c r="G486" s="1351" t="s">
        <v>826</v>
      </c>
      <c r="H486" s="1352">
        <v>1732</v>
      </c>
      <c r="I486" s="1348">
        <f t="shared" si="115"/>
        <v>0.43084577114427863</v>
      </c>
      <c r="J486" s="1344">
        <v>0</v>
      </c>
    </row>
    <row r="487" spans="1:10" x14ac:dyDescent="0.2">
      <c r="A487" s="9"/>
      <c r="B487" s="9"/>
      <c r="C487" s="10" t="s">
        <v>354</v>
      </c>
      <c r="D487" s="11" t="s">
        <v>355</v>
      </c>
      <c r="E487" s="1345">
        <v>20000</v>
      </c>
      <c r="F487" s="1343">
        <f t="shared" si="121"/>
        <v>2000</v>
      </c>
      <c r="G487" s="1351" t="s">
        <v>827</v>
      </c>
      <c r="H487" s="1352">
        <v>22000</v>
      </c>
      <c r="I487" s="1348">
        <f t="shared" si="115"/>
        <v>1</v>
      </c>
      <c r="J487" s="1344">
        <v>0</v>
      </c>
    </row>
    <row r="488" spans="1:10" x14ac:dyDescent="0.2">
      <c r="A488" s="9"/>
      <c r="B488" s="9"/>
      <c r="C488" s="10" t="s">
        <v>475</v>
      </c>
      <c r="D488" s="11" t="s">
        <v>476</v>
      </c>
      <c r="E488" s="1345">
        <v>1500</v>
      </c>
      <c r="F488" s="1343">
        <f t="shared" si="121"/>
        <v>-500</v>
      </c>
      <c r="G488" s="1351" t="s">
        <v>95</v>
      </c>
      <c r="H488" s="1352">
        <v>1000</v>
      </c>
      <c r="I488" s="1348">
        <f t="shared" si="115"/>
        <v>1</v>
      </c>
      <c r="J488" s="1344">
        <v>0</v>
      </c>
    </row>
    <row r="489" spans="1:10" ht="22.5" x14ac:dyDescent="0.2">
      <c r="A489" s="9"/>
      <c r="B489" s="9"/>
      <c r="C489" s="10" t="s">
        <v>489</v>
      </c>
      <c r="D489" s="11" t="s">
        <v>490</v>
      </c>
      <c r="E489" s="1345">
        <v>4029</v>
      </c>
      <c r="F489" s="1343">
        <f t="shared" si="121"/>
        <v>0</v>
      </c>
      <c r="G489" s="1351" t="s">
        <v>828</v>
      </c>
      <c r="H489" s="1352">
        <v>4029</v>
      </c>
      <c r="I489" s="1348">
        <f t="shared" si="115"/>
        <v>1</v>
      </c>
      <c r="J489" s="1344">
        <v>0</v>
      </c>
    </row>
    <row r="490" spans="1:10" ht="56.25" x14ac:dyDescent="0.2">
      <c r="A490" s="9"/>
      <c r="B490" s="9"/>
      <c r="C490" s="10" t="s">
        <v>817</v>
      </c>
      <c r="D490" s="11" t="s">
        <v>818</v>
      </c>
      <c r="E490" s="1345">
        <v>1500</v>
      </c>
      <c r="F490" s="1343">
        <f t="shared" si="121"/>
        <v>4000</v>
      </c>
      <c r="G490" s="1351" t="s">
        <v>295</v>
      </c>
      <c r="H490" s="1352">
        <v>4680.7700000000004</v>
      </c>
      <c r="I490" s="1348">
        <f t="shared" si="115"/>
        <v>0.85104909090909098</v>
      </c>
      <c r="J490" s="1344">
        <v>0</v>
      </c>
    </row>
    <row r="491" spans="1:10" ht="22.5" x14ac:dyDescent="0.2">
      <c r="A491" s="9"/>
      <c r="B491" s="9"/>
      <c r="C491" s="10" t="s">
        <v>433</v>
      </c>
      <c r="D491" s="11" t="s">
        <v>434</v>
      </c>
      <c r="E491" s="1345">
        <v>3000</v>
      </c>
      <c r="F491" s="1343">
        <f t="shared" si="121"/>
        <v>0</v>
      </c>
      <c r="G491" s="1351" t="s">
        <v>528</v>
      </c>
      <c r="H491" s="1352">
        <v>2932.67</v>
      </c>
      <c r="I491" s="1348">
        <f t="shared" si="115"/>
        <v>0.97755666666666674</v>
      </c>
      <c r="J491" s="1344">
        <v>0</v>
      </c>
    </row>
    <row r="492" spans="1:10" ht="15" x14ac:dyDescent="0.2">
      <c r="A492" s="8"/>
      <c r="B492" s="1632" t="s">
        <v>298</v>
      </c>
      <c r="C492" s="1633"/>
      <c r="D492" s="1634" t="s">
        <v>299</v>
      </c>
      <c r="E492" s="1635">
        <f>E493+E494+E495</f>
        <v>0</v>
      </c>
      <c r="F492" s="1636">
        <f t="shared" ref="F492:J492" si="122">F493+F494+F495</f>
        <v>327.00000000000006</v>
      </c>
      <c r="G492" s="1637">
        <f t="shared" si="122"/>
        <v>327.00000000000006</v>
      </c>
      <c r="H492" s="1637">
        <f t="shared" si="122"/>
        <v>310.88</v>
      </c>
      <c r="I492" s="1639">
        <f t="shared" si="115"/>
        <v>0.95070336391437293</v>
      </c>
      <c r="J492" s="1635">
        <f t="shared" si="122"/>
        <v>0</v>
      </c>
    </row>
    <row r="493" spans="1:10" x14ac:dyDescent="0.2">
      <c r="A493" s="9"/>
      <c r="B493" s="9"/>
      <c r="C493" s="10" t="s">
        <v>342</v>
      </c>
      <c r="D493" s="11" t="s">
        <v>343</v>
      </c>
      <c r="E493" s="1345">
        <v>0</v>
      </c>
      <c r="F493" s="1343">
        <f>G493-E493</f>
        <v>272.72000000000003</v>
      </c>
      <c r="G493" s="1351" t="s">
        <v>829</v>
      </c>
      <c r="H493" s="1352">
        <v>259.26</v>
      </c>
      <c r="I493" s="1348">
        <f t="shared" si="115"/>
        <v>0.95064535054268096</v>
      </c>
      <c r="J493" s="1344">
        <v>0</v>
      </c>
    </row>
    <row r="494" spans="1:10" x14ac:dyDescent="0.2">
      <c r="A494" s="9"/>
      <c r="B494" s="9"/>
      <c r="C494" s="10" t="s">
        <v>345</v>
      </c>
      <c r="D494" s="11" t="s">
        <v>346</v>
      </c>
      <c r="E494" s="1345">
        <v>0</v>
      </c>
      <c r="F494" s="1343">
        <f t="shared" ref="F494:F495" si="123">G494-E494</f>
        <v>47.61</v>
      </c>
      <c r="G494" s="1351" t="s">
        <v>830</v>
      </c>
      <c r="H494" s="1352">
        <v>45.27</v>
      </c>
      <c r="I494" s="1348">
        <f t="shared" si="115"/>
        <v>0.95085066162570897</v>
      </c>
      <c r="J494" s="1344">
        <v>0</v>
      </c>
    </row>
    <row r="495" spans="1:10" x14ac:dyDescent="0.2">
      <c r="A495" s="9"/>
      <c r="B495" s="9"/>
      <c r="C495" s="10" t="s">
        <v>348</v>
      </c>
      <c r="D495" s="11" t="s">
        <v>349</v>
      </c>
      <c r="E495" s="1345">
        <v>0</v>
      </c>
      <c r="F495" s="1343">
        <f t="shared" si="123"/>
        <v>6.67</v>
      </c>
      <c r="G495" s="1351" t="s">
        <v>831</v>
      </c>
      <c r="H495" s="1352">
        <v>6.35</v>
      </c>
      <c r="I495" s="1348">
        <f t="shared" si="115"/>
        <v>0.95202398800599697</v>
      </c>
      <c r="J495" s="1344">
        <v>0</v>
      </c>
    </row>
    <row r="496" spans="1:10" ht="15" x14ac:dyDescent="0.2">
      <c r="A496" s="8"/>
      <c r="B496" s="1632" t="s">
        <v>301</v>
      </c>
      <c r="C496" s="1633"/>
      <c r="D496" s="1634" t="s">
        <v>302</v>
      </c>
      <c r="E496" s="1635">
        <f>E497+E498+E499+E500+E501+E502+E503+E504</f>
        <v>125631</v>
      </c>
      <c r="F496" s="1636">
        <f t="shared" ref="F496:J496" si="124">F497+F498+F499+F500+F501+F502+F503+F504</f>
        <v>9123.9399999999932</v>
      </c>
      <c r="G496" s="1637">
        <f t="shared" si="124"/>
        <v>134754.94</v>
      </c>
      <c r="H496" s="1637">
        <f t="shared" si="124"/>
        <v>126943.73999999999</v>
      </c>
      <c r="I496" s="1639">
        <f t="shared" si="115"/>
        <v>0.9420340360063979</v>
      </c>
      <c r="J496" s="1635">
        <f t="shared" si="124"/>
        <v>7746.46</v>
      </c>
    </row>
    <row r="497" spans="1:10" x14ac:dyDescent="0.2">
      <c r="A497" s="9"/>
      <c r="B497" s="9"/>
      <c r="C497" s="10" t="s">
        <v>445</v>
      </c>
      <c r="D497" s="11" t="s">
        <v>446</v>
      </c>
      <c r="E497" s="1345">
        <v>1600</v>
      </c>
      <c r="F497" s="1343">
        <f>G497-E497</f>
        <v>0</v>
      </c>
      <c r="G497" s="1351" t="s">
        <v>832</v>
      </c>
      <c r="H497" s="1352">
        <v>1600</v>
      </c>
      <c r="I497" s="1348">
        <f t="shared" si="115"/>
        <v>1</v>
      </c>
      <c r="J497" s="1344">
        <v>0</v>
      </c>
    </row>
    <row r="498" spans="1:10" x14ac:dyDescent="0.2">
      <c r="A498" s="9"/>
      <c r="B498" s="9"/>
      <c r="C498" s="10" t="s">
        <v>342</v>
      </c>
      <c r="D498" s="11" t="s">
        <v>343</v>
      </c>
      <c r="E498" s="1345">
        <v>90320</v>
      </c>
      <c r="F498" s="1343">
        <f t="shared" ref="F498:F504" si="125">G498-E498</f>
        <v>10793.429999999993</v>
      </c>
      <c r="G498" s="1351" t="s">
        <v>833</v>
      </c>
      <c r="H498" s="1352">
        <v>93941.06</v>
      </c>
      <c r="I498" s="1348">
        <f t="shared" si="115"/>
        <v>0.92906609933022744</v>
      </c>
      <c r="J498" s="1344">
        <v>0</v>
      </c>
    </row>
    <row r="499" spans="1:10" x14ac:dyDescent="0.2">
      <c r="A499" s="9"/>
      <c r="B499" s="9"/>
      <c r="C499" s="10" t="s">
        <v>453</v>
      </c>
      <c r="D499" s="11" t="s">
        <v>454</v>
      </c>
      <c r="E499" s="1345">
        <v>5378</v>
      </c>
      <c r="F499" s="1343">
        <f t="shared" si="125"/>
        <v>-1919.4899999999998</v>
      </c>
      <c r="G499" s="1351" t="s">
        <v>834</v>
      </c>
      <c r="H499" s="1352">
        <v>3458.51</v>
      </c>
      <c r="I499" s="1348">
        <f t="shared" si="115"/>
        <v>1</v>
      </c>
      <c r="J499" s="1344">
        <v>6488.11</v>
      </c>
    </row>
    <row r="500" spans="1:10" x14ac:dyDescent="0.2">
      <c r="A500" s="9"/>
      <c r="B500" s="9"/>
      <c r="C500" s="10" t="s">
        <v>345</v>
      </c>
      <c r="D500" s="11" t="s">
        <v>346</v>
      </c>
      <c r="E500" s="1345">
        <v>16709</v>
      </c>
      <c r="F500" s="1343">
        <f t="shared" si="125"/>
        <v>0</v>
      </c>
      <c r="G500" s="1351" t="s">
        <v>835</v>
      </c>
      <c r="H500" s="1352">
        <v>16515.64</v>
      </c>
      <c r="I500" s="1348">
        <f t="shared" si="115"/>
        <v>0.98842779340475184</v>
      </c>
      <c r="J500" s="1344">
        <v>1132.8</v>
      </c>
    </row>
    <row r="501" spans="1:10" x14ac:dyDescent="0.2">
      <c r="A501" s="9"/>
      <c r="B501" s="9"/>
      <c r="C501" s="10" t="s">
        <v>348</v>
      </c>
      <c r="D501" s="11" t="s">
        <v>349</v>
      </c>
      <c r="E501" s="1345">
        <v>2345</v>
      </c>
      <c r="F501" s="1343">
        <f t="shared" si="125"/>
        <v>0</v>
      </c>
      <c r="G501" s="1351" t="s">
        <v>836</v>
      </c>
      <c r="H501" s="1352">
        <v>1899.53</v>
      </c>
      <c r="I501" s="1348">
        <f t="shared" si="115"/>
        <v>0.81003411513859269</v>
      </c>
      <c r="J501" s="1344">
        <v>125.55</v>
      </c>
    </row>
    <row r="502" spans="1:10" x14ac:dyDescent="0.2">
      <c r="A502" s="9"/>
      <c r="B502" s="9"/>
      <c r="C502" s="10" t="s">
        <v>351</v>
      </c>
      <c r="D502" s="11" t="s">
        <v>352</v>
      </c>
      <c r="E502" s="1345">
        <v>3000</v>
      </c>
      <c r="F502" s="1343">
        <f t="shared" si="125"/>
        <v>0</v>
      </c>
      <c r="G502" s="1351" t="s">
        <v>528</v>
      </c>
      <c r="H502" s="1352">
        <v>3000</v>
      </c>
      <c r="I502" s="1348">
        <f t="shared" si="115"/>
        <v>1</v>
      </c>
      <c r="J502" s="1344">
        <v>0</v>
      </c>
    </row>
    <row r="503" spans="1:10" x14ac:dyDescent="0.2">
      <c r="A503" s="9"/>
      <c r="B503" s="9"/>
      <c r="C503" s="10" t="s">
        <v>484</v>
      </c>
      <c r="D503" s="11" t="s">
        <v>485</v>
      </c>
      <c r="E503" s="1345">
        <v>3000</v>
      </c>
      <c r="F503" s="1343">
        <f t="shared" si="125"/>
        <v>0</v>
      </c>
      <c r="G503" s="1351" t="s">
        <v>528</v>
      </c>
      <c r="H503" s="1352">
        <v>3000</v>
      </c>
      <c r="I503" s="1348">
        <f t="shared" si="115"/>
        <v>1</v>
      </c>
      <c r="J503" s="1344">
        <v>0</v>
      </c>
    </row>
    <row r="504" spans="1:10" ht="22.5" x14ac:dyDescent="0.2">
      <c r="A504" s="9"/>
      <c r="B504" s="9"/>
      <c r="C504" s="10" t="s">
        <v>489</v>
      </c>
      <c r="D504" s="11" t="s">
        <v>490</v>
      </c>
      <c r="E504" s="1345">
        <v>3279</v>
      </c>
      <c r="F504" s="1343">
        <f t="shared" si="125"/>
        <v>250</v>
      </c>
      <c r="G504" s="1351" t="s">
        <v>837</v>
      </c>
      <c r="H504" s="1352">
        <v>3529</v>
      </c>
      <c r="I504" s="1348">
        <f t="shared" si="115"/>
        <v>1</v>
      </c>
      <c r="J504" s="1344">
        <v>0</v>
      </c>
    </row>
    <row r="505" spans="1:10" ht="15" x14ac:dyDescent="0.2">
      <c r="A505" s="8"/>
      <c r="B505" s="1632" t="s">
        <v>838</v>
      </c>
      <c r="C505" s="1633"/>
      <c r="D505" s="1634" t="s">
        <v>839</v>
      </c>
      <c r="E505" s="1635">
        <f>E506</f>
        <v>105600</v>
      </c>
      <c r="F505" s="1636">
        <f t="shared" ref="F505:J505" si="126">F506</f>
        <v>10000</v>
      </c>
      <c r="G505" s="1637" t="str">
        <f t="shared" si="126"/>
        <v>115 600,00</v>
      </c>
      <c r="H505" s="1637">
        <f t="shared" si="126"/>
        <v>113167.7</v>
      </c>
      <c r="I505" s="1639">
        <f t="shared" si="115"/>
        <v>0.97895934256055361</v>
      </c>
      <c r="J505" s="1635">
        <f t="shared" si="126"/>
        <v>0</v>
      </c>
    </row>
    <row r="506" spans="1:10" ht="33.75" x14ac:dyDescent="0.2">
      <c r="A506" s="9"/>
      <c r="B506" s="9"/>
      <c r="C506" s="10" t="s">
        <v>614</v>
      </c>
      <c r="D506" s="11" t="s">
        <v>615</v>
      </c>
      <c r="E506" s="1345">
        <v>105600</v>
      </c>
      <c r="F506" s="1343">
        <f>G506-E506</f>
        <v>10000</v>
      </c>
      <c r="G506" s="1351" t="s">
        <v>840</v>
      </c>
      <c r="H506" s="1352">
        <v>113167.7</v>
      </c>
      <c r="I506" s="1348">
        <f t="shared" si="115"/>
        <v>0.97895934256055361</v>
      </c>
      <c r="J506" s="1344">
        <v>0</v>
      </c>
    </row>
    <row r="507" spans="1:10" ht="22.5" x14ac:dyDescent="0.2">
      <c r="A507" s="8"/>
      <c r="B507" s="1632" t="s">
        <v>841</v>
      </c>
      <c r="C507" s="1633"/>
      <c r="D507" s="1634" t="s">
        <v>842</v>
      </c>
      <c r="E507" s="1635">
        <f>E508</f>
        <v>143530</v>
      </c>
      <c r="F507" s="1636">
        <f t="shared" ref="F507:J507" si="127">F508</f>
        <v>8000</v>
      </c>
      <c r="G507" s="1637" t="str">
        <f t="shared" si="127"/>
        <v>151 530,00</v>
      </c>
      <c r="H507" s="1637">
        <f t="shared" si="127"/>
        <v>148698.96</v>
      </c>
      <c r="I507" s="1639">
        <f t="shared" si="115"/>
        <v>0.98131696693724013</v>
      </c>
      <c r="J507" s="1635">
        <f t="shared" si="127"/>
        <v>0</v>
      </c>
    </row>
    <row r="508" spans="1:10" ht="33.75" x14ac:dyDescent="0.2">
      <c r="A508" s="9"/>
      <c r="B508" s="9"/>
      <c r="C508" s="10" t="s">
        <v>614</v>
      </c>
      <c r="D508" s="11" t="s">
        <v>615</v>
      </c>
      <c r="E508" s="1345">
        <v>143530</v>
      </c>
      <c r="F508" s="1343">
        <f>G508-E508</f>
        <v>8000</v>
      </c>
      <c r="G508" s="1351" t="s">
        <v>843</v>
      </c>
      <c r="H508" s="1352">
        <v>148698.96</v>
      </c>
      <c r="I508" s="1348">
        <f t="shared" si="115"/>
        <v>0.98131696693724013</v>
      </c>
      <c r="J508" s="1344">
        <v>0</v>
      </c>
    </row>
    <row r="509" spans="1:10" ht="15" x14ac:dyDescent="0.2">
      <c r="A509" s="8"/>
      <c r="B509" s="1632" t="s">
        <v>307</v>
      </c>
      <c r="C509" s="1633"/>
      <c r="D509" s="1634" t="s">
        <v>14</v>
      </c>
      <c r="E509" s="1635">
        <f>E510+E511+E512+E513+E514+E515</f>
        <v>0</v>
      </c>
      <c r="F509" s="1636">
        <f t="shared" ref="F509:J509" si="128">F510+F511+F512+F513+F514+F515</f>
        <v>0</v>
      </c>
      <c r="G509" s="1637">
        <f t="shared" si="128"/>
        <v>0</v>
      </c>
      <c r="H509" s="1637">
        <f t="shared" si="128"/>
        <v>0</v>
      </c>
      <c r="I509" s="1639">
        <v>0</v>
      </c>
      <c r="J509" s="1635">
        <f t="shared" si="128"/>
        <v>0</v>
      </c>
    </row>
    <row r="510" spans="1:10" x14ac:dyDescent="0.2">
      <c r="A510" s="9"/>
      <c r="B510" s="9"/>
      <c r="C510" s="10" t="s">
        <v>746</v>
      </c>
      <c r="D510" s="11" t="s">
        <v>747</v>
      </c>
      <c r="E510" s="1345">
        <v>0</v>
      </c>
      <c r="F510" s="1343">
        <f>G510-E510</f>
        <v>0</v>
      </c>
      <c r="G510" s="1351" t="s">
        <v>7</v>
      </c>
      <c r="H510" s="1352">
        <v>0</v>
      </c>
      <c r="I510" s="1348">
        <v>0</v>
      </c>
      <c r="J510" s="1344">
        <v>0</v>
      </c>
    </row>
    <row r="511" spans="1:10" x14ac:dyDescent="0.2">
      <c r="A511" s="9"/>
      <c r="B511" s="9"/>
      <c r="C511" s="10" t="s">
        <v>342</v>
      </c>
      <c r="D511" s="11" t="s">
        <v>343</v>
      </c>
      <c r="E511" s="1345">
        <v>0</v>
      </c>
      <c r="F511" s="1343">
        <f t="shared" ref="F511:F515" si="129">G511-E511</f>
        <v>0</v>
      </c>
      <c r="G511" s="1351" t="s">
        <v>7</v>
      </c>
      <c r="H511" s="1352">
        <v>0</v>
      </c>
      <c r="I511" s="1348">
        <v>0</v>
      </c>
      <c r="J511" s="1344">
        <v>0</v>
      </c>
    </row>
    <row r="512" spans="1:10" x14ac:dyDescent="0.2">
      <c r="A512" s="9"/>
      <c r="B512" s="9"/>
      <c r="C512" s="10" t="s">
        <v>345</v>
      </c>
      <c r="D512" s="11" t="s">
        <v>346</v>
      </c>
      <c r="E512" s="1345">
        <v>0</v>
      </c>
      <c r="F512" s="1343">
        <f t="shared" si="129"/>
        <v>0</v>
      </c>
      <c r="G512" s="1351" t="s">
        <v>7</v>
      </c>
      <c r="H512" s="1352">
        <v>0</v>
      </c>
      <c r="I512" s="1348">
        <v>0</v>
      </c>
      <c r="J512" s="1344">
        <v>0</v>
      </c>
    </row>
    <row r="513" spans="1:10" x14ac:dyDescent="0.2">
      <c r="A513" s="9"/>
      <c r="B513" s="9"/>
      <c r="C513" s="10" t="s">
        <v>348</v>
      </c>
      <c r="D513" s="11" t="s">
        <v>349</v>
      </c>
      <c r="E513" s="1345">
        <v>0</v>
      </c>
      <c r="F513" s="1343">
        <f t="shared" si="129"/>
        <v>0</v>
      </c>
      <c r="G513" s="1351" t="s">
        <v>7</v>
      </c>
      <c r="H513" s="1352">
        <v>0</v>
      </c>
      <c r="I513" s="1348">
        <v>0</v>
      </c>
      <c r="J513" s="1344">
        <v>0</v>
      </c>
    </row>
    <row r="514" spans="1:10" x14ac:dyDescent="0.2">
      <c r="A514" s="9"/>
      <c r="B514" s="9"/>
      <c r="C514" s="10" t="s">
        <v>351</v>
      </c>
      <c r="D514" s="11" t="s">
        <v>352</v>
      </c>
      <c r="E514" s="1345">
        <v>0</v>
      </c>
      <c r="F514" s="1343">
        <f t="shared" si="129"/>
        <v>0</v>
      </c>
      <c r="G514" s="1351" t="s">
        <v>7</v>
      </c>
      <c r="H514" s="1352">
        <v>0</v>
      </c>
      <c r="I514" s="1348">
        <v>0</v>
      </c>
      <c r="J514" s="1344">
        <v>0</v>
      </c>
    </row>
    <row r="515" spans="1:10" x14ac:dyDescent="0.2">
      <c r="A515" s="9"/>
      <c r="B515" s="9"/>
      <c r="C515" s="10" t="s">
        <v>367</v>
      </c>
      <c r="D515" s="11" t="s">
        <v>368</v>
      </c>
      <c r="E515" s="1345">
        <v>0</v>
      </c>
      <c r="F515" s="1343">
        <f t="shared" si="129"/>
        <v>0</v>
      </c>
      <c r="G515" s="1351" t="s">
        <v>7</v>
      </c>
      <c r="H515" s="1352">
        <v>0</v>
      </c>
      <c r="I515" s="1348">
        <v>0</v>
      </c>
      <c r="J515" s="1344">
        <v>0</v>
      </c>
    </row>
    <row r="516" spans="1:10" ht="22.5" x14ac:dyDescent="0.2">
      <c r="A516" s="1640" t="s">
        <v>308</v>
      </c>
      <c r="B516" s="1640"/>
      <c r="C516" s="1640"/>
      <c r="D516" s="1641" t="s">
        <v>309</v>
      </c>
      <c r="E516" s="1642">
        <f>E517+E523+E536+E538+E543+E545+E553+E558+E560</f>
        <v>4190512.19</v>
      </c>
      <c r="F516" s="1643">
        <f t="shared" ref="F516:J516" si="130">F517+F523+F536+F538+F543+F545+F553+F558+F560</f>
        <v>379660.72000000009</v>
      </c>
      <c r="G516" s="1644">
        <f t="shared" si="130"/>
        <v>4570172.91</v>
      </c>
      <c r="H516" s="1644">
        <f t="shared" si="130"/>
        <v>4181549.27</v>
      </c>
      <c r="I516" s="1645">
        <f t="shared" si="115"/>
        <v>0.91496522174256201</v>
      </c>
      <c r="J516" s="1642">
        <f t="shared" si="130"/>
        <v>84171.94</v>
      </c>
    </row>
    <row r="517" spans="1:10" ht="15" x14ac:dyDescent="0.2">
      <c r="A517" s="8"/>
      <c r="B517" s="1632" t="s">
        <v>844</v>
      </c>
      <c r="C517" s="1633"/>
      <c r="D517" s="1634" t="s">
        <v>845</v>
      </c>
      <c r="E517" s="1635">
        <f>E518+E519+E520+E521+E522</f>
        <v>155000</v>
      </c>
      <c r="F517" s="1636">
        <f t="shared" ref="F517:J517" si="131">F518+F519+F520+F521+F522</f>
        <v>238810</v>
      </c>
      <c r="G517" s="1637">
        <f t="shared" si="131"/>
        <v>393810</v>
      </c>
      <c r="H517" s="1637">
        <f t="shared" si="131"/>
        <v>365347.02</v>
      </c>
      <c r="I517" s="1639">
        <f t="shared" si="115"/>
        <v>0.92772408014016916</v>
      </c>
      <c r="J517" s="1635">
        <f t="shared" si="131"/>
        <v>0</v>
      </c>
    </row>
    <row r="518" spans="1:10" ht="33.75" x14ac:dyDescent="0.2">
      <c r="A518" s="9"/>
      <c r="B518" s="9"/>
      <c r="C518" s="10" t="s">
        <v>725</v>
      </c>
      <c r="D518" s="11" t="s">
        <v>726</v>
      </c>
      <c r="E518" s="1345">
        <v>100000</v>
      </c>
      <c r="F518" s="1343">
        <f>G518-E518</f>
        <v>-100000</v>
      </c>
      <c r="G518" s="1351" t="s">
        <v>7</v>
      </c>
      <c r="H518" s="1352">
        <v>0</v>
      </c>
      <c r="I518" s="1348">
        <v>0</v>
      </c>
      <c r="J518" s="1344">
        <v>0</v>
      </c>
    </row>
    <row r="519" spans="1:10" x14ac:dyDescent="0.2">
      <c r="A519" s="9"/>
      <c r="B519" s="9"/>
      <c r="C519" s="10" t="s">
        <v>363</v>
      </c>
      <c r="D519" s="11" t="s">
        <v>364</v>
      </c>
      <c r="E519" s="1345">
        <v>0</v>
      </c>
      <c r="F519" s="1343">
        <f t="shared" ref="F519:F522" si="132">G519-E519</f>
        <v>15000</v>
      </c>
      <c r="G519" s="1351" t="s">
        <v>29</v>
      </c>
      <c r="H519" s="1352">
        <v>15000</v>
      </c>
      <c r="I519" s="1348">
        <f t="shared" ref="I519:I582" si="133">H519/G519</f>
        <v>1</v>
      </c>
      <c r="J519" s="1344">
        <v>0</v>
      </c>
    </row>
    <row r="520" spans="1:10" x14ac:dyDescent="0.2">
      <c r="A520" s="9"/>
      <c r="B520" s="9"/>
      <c r="C520" s="10" t="s">
        <v>351</v>
      </c>
      <c r="D520" s="11" t="s">
        <v>352</v>
      </c>
      <c r="E520" s="1345">
        <v>5000</v>
      </c>
      <c r="F520" s="1343">
        <f t="shared" si="132"/>
        <v>0</v>
      </c>
      <c r="G520" s="1351" t="s">
        <v>588</v>
      </c>
      <c r="H520" s="1352">
        <v>435.68</v>
      </c>
      <c r="I520" s="1348">
        <f t="shared" si="133"/>
        <v>8.7136000000000005E-2</v>
      </c>
      <c r="J520" s="1344">
        <v>0</v>
      </c>
    </row>
    <row r="521" spans="1:10" x14ac:dyDescent="0.2">
      <c r="A521" s="9"/>
      <c r="B521" s="9"/>
      <c r="C521" s="10" t="s">
        <v>354</v>
      </c>
      <c r="D521" s="11" t="s">
        <v>355</v>
      </c>
      <c r="E521" s="1345">
        <v>50000</v>
      </c>
      <c r="F521" s="1343">
        <f t="shared" si="132"/>
        <v>245000</v>
      </c>
      <c r="G521" s="1351" t="s">
        <v>846</v>
      </c>
      <c r="H521" s="1352">
        <v>286442.38</v>
      </c>
      <c r="I521" s="1348">
        <f t="shared" si="133"/>
        <v>0.97099111864406784</v>
      </c>
      <c r="J521" s="1344">
        <v>0</v>
      </c>
    </row>
    <row r="522" spans="1:10" ht="45" x14ac:dyDescent="0.2">
      <c r="A522" s="9"/>
      <c r="B522" s="9"/>
      <c r="C522" s="10" t="s">
        <v>538</v>
      </c>
      <c r="D522" s="11" t="s">
        <v>539</v>
      </c>
      <c r="E522" s="1345">
        <v>0</v>
      </c>
      <c r="F522" s="1343">
        <f t="shared" si="132"/>
        <v>78810</v>
      </c>
      <c r="G522" s="1351" t="s">
        <v>847</v>
      </c>
      <c r="H522" s="1352">
        <v>63468.959999999999</v>
      </c>
      <c r="I522" s="1348">
        <f t="shared" si="133"/>
        <v>0.80534145413018654</v>
      </c>
      <c r="J522" s="1344">
        <v>0</v>
      </c>
    </row>
    <row r="523" spans="1:10" ht="15" x14ac:dyDescent="0.2">
      <c r="A523" s="8"/>
      <c r="B523" s="1632" t="s">
        <v>310</v>
      </c>
      <c r="C523" s="1633"/>
      <c r="D523" s="1634" t="s">
        <v>311</v>
      </c>
      <c r="E523" s="1635">
        <f>E524+E525+E526+E527+E528+E529+E530+E531+E532+E534+E533+E535</f>
        <v>1895276</v>
      </c>
      <c r="F523" s="1636">
        <f t="shared" ref="F523:J523" si="134">F524+F525+F526+F527+F528+F529+F530+F531+F532+F534+F533+F535</f>
        <v>47632.180000000066</v>
      </c>
      <c r="G523" s="1637">
        <f t="shared" si="134"/>
        <v>1942908.1800000002</v>
      </c>
      <c r="H523" s="1637">
        <f t="shared" si="134"/>
        <v>1889613.2</v>
      </c>
      <c r="I523" s="1639">
        <f t="shared" si="133"/>
        <v>0.97256948086965167</v>
      </c>
      <c r="J523" s="1635">
        <f t="shared" si="134"/>
        <v>13913.58</v>
      </c>
    </row>
    <row r="524" spans="1:10" ht="45" x14ac:dyDescent="0.2">
      <c r="A524" s="9"/>
      <c r="B524" s="9"/>
      <c r="C524" s="10" t="s">
        <v>627</v>
      </c>
      <c r="D524" s="11" t="s">
        <v>628</v>
      </c>
      <c r="E524" s="1345">
        <v>30000</v>
      </c>
      <c r="F524" s="1343">
        <f>G524-E524</f>
        <v>0</v>
      </c>
      <c r="G524" s="1351" t="s">
        <v>138</v>
      </c>
      <c r="H524" s="1352">
        <v>7004.72</v>
      </c>
      <c r="I524" s="1348">
        <f t="shared" si="133"/>
        <v>0.23349066666666668</v>
      </c>
      <c r="J524" s="1344">
        <v>0</v>
      </c>
    </row>
    <row r="525" spans="1:10" x14ac:dyDescent="0.2">
      <c r="A525" s="9"/>
      <c r="B525" s="9"/>
      <c r="C525" s="10" t="s">
        <v>342</v>
      </c>
      <c r="D525" s="11" t="s">
        <v>343</v>
      </c>
      <c r="E525" s="1345">
        <v>108851.35</v>
      </c>
      <c r="F525" s="1343">
        <f t="shared" ref="F525:F535" si="135">G525-E525</f>
        <v>26284</v>
      </c>
      <c r="G525" s="1351" t="s">
        <v>848</v>
      </c>
      <c r="H525" s="1352">
        <v>135135.35</v>
      </c>
      <c r="I525" s="1348">
        <f t="shared" si="133"/>
        <v>1</v>
      </c>
      <c r="J525" s="1344">
        <v>0</v>
      </c>
    </row>
    <row r="526" spans="1:10" x14ac:dyDescent="0.2">
      <c r="A526" s="9"/>
      <c r="B526" s="9"/>
      <c r="C526" s="10" t="s">
        <v>453</v>
      </c>
      <c r="D526" s="11" t="s">
        <v>454</v>
      </c>
      <c r="E526" s="1345">
        <v>8945.84</v>
      </c>
      <c r="F526" s="1343">
        <f t="shared" si="135"/>
        <v>-258.81999999999971</v>
      </c>
      <c r="G526" s="1351" t="s">
        <v>849</v>
      </c>
      <c r="H526" s="1352">
        <v>8687.02</v>
      </c>
      <c r="I526" s="1348">
        <f t="shared" si="133"/>
        <v>1</v>
      </c>
      <c r="J526" s="1344">
        <v>9391.34</v>
      </c>
    </row>
    <row r="527" spans="1:10" x14ac:dyDescent="0.2">
      <c r="A527" s="9"/>
      <c r="B527" s="9"/>
      <c r="C527" s="10" t="s">
        <v>345</v>
      </c>
      <c r="D527" s="11" t="s">
        <v>346</v>
      </c>
      <c r="E527" s="1345">
        <v>20249.34</v>
      </c>
      <c r="F527" s="1343">
        <f t="shared" si="135"/>
        <v>4518.2200000000012</v>
      </c>
      <c r="G527" s="1351" t="s">
        <v>850</v>
      </c>
      <c r="H527" s="1352">
        <v>24283.37</v>
      </c>
      <c r="I527" s="1348">
        <f t="shared" si="133"/>
        <v>0.98045063785047848</v>
      </c>
      <c r="J527" s="1344">
        <v>1614.39</v>
      </c>
    </row>
    <row r="528" spans="1:10" x14ac:dyDescent="0.2">
      <c r="A528" s="9"/>
      <c r="B528" s="9"/>
      <c r="C528" s="10" t="s">
        <v>348</v>
      </c>
      <c r="D528" s="11" t="s">
        <v>349</v>
      </c>
      <c r="E528" s="1345">
        <v>2072.2399999999998</v>
      </c>
      <c r="F528" s="1343">
        <f t="shared" si="135"/>
        <v>643.96</v>
      </c>
      <c r="G528" s="1351" t="s">
        <v>851</v>
      </c>
      <c r="H528" s="1352">
        <v>2685.69</v>
      </c>
      <c r="I528" s="1348">
        <f t="shared" si="133"/>
        <v>0.98876739562624261</v>
      </c>
      <c r="J528" s="1344">
        <v>157.25</v>
      </c>
    </row>
    <row r="529" spans="1:10" x14ac:dyDescent="0.2">
      <c r="A529" s="9"/>
      <c r="B529" s="9"/>
      <c r="C529" s="10" t="s">
        <v>351</v>
      </c>
      <c r="D529" s="11" t="s">
        <v>352</v>
      </c>
      <c r="E529" s="1345">
        <v>31000</v>
      </c>
      <c r="F529" s="1343">
        <f t="shared" si="135"/>
        <v>-12000</v>
      </c>
      <c r="G529" s="1351" t="s">
        <v>852</v>
      </c>
      <c r="H529" s="1352">
        <v>8135.85</v>
      </c>
      <c r="I529" s="1348">
        <f t="shared" si="133"/>
        <v>0.42820263157894739</v>
      </c>
      <c r="J529" s="1344">
        <v>0</v>
      </c>
    </row>
    <row r="530" spans="1:10" x14ac:dyDescent="0.2">
      <c r="A530" s="9"/>
      <c r="B530" s="9"/>
      <c r="C530" s="10" t="s">
        <v>354</v>
      </c>
      <c r="D530" s="11" t="s">
        <v>355</v>
      </c>
      <c r="E530" s="1345">
        <v>1682722.19</v>
      </c>
      <c r="F530" s="1343">
        <f t="shared" si="135"/>
        <v>32758.820000000065</v>
      </c>
      <c r="G530" s="1351" t="s">
        <v>853</v>
      </c>
      <c r="H530" s="1352">
        <v>1697484.2</v>
      </c>
      <c r="I530" s="1348">
        <f t="shared" si="133"/>
        <v>0.9895091756218275</v>
      </c>
      <c r="J530" s="1344">
        <v>2750.6</v>
      </c>
    </row>
    <row r="531" spans="1:10" x14ac:dyDescent="0.2">
      <c r="A531" s="9"/>
      <c r="B531" s="9"/>
      <c r="C531" s="10" t="s">
        <v>484</v>
      </c>
      <c r="D531" s="11" t="s">
        <v>485</v>
      </c>
      <c r="E531" s="1345">
        <v>1000</v>
      </c>
      <c r="F531" s="1343">
        <f t="shared" si="135"/>
        <v>-1000</v>
      </c>
      <c r="G531" s="1351" t="s">
        <v>7</v>
      </c>
      <c r="H531" s="1352">
        <v>0</v>
      </c>
      <c r="I531" s="1348">
        <v>0</v>
      </c>
      <c r="J531" s="1344">
        <v>0</v>
      </c>
    </row>
    <row r="532" spans="1:10" x14ac:dyDescent="0.2">
      <c r="A532" s="9"/>
      <c r="B532" s="9"/>
      <c r="C532" s="10" t="s">
        <v>357</v>
      </c>
      <c r="D532" s="11" t="s">
        <v>358</v>
      </c>
      <c r="E532" s="1345">
        <v>3500</v>
      </c>
      <c r="F532" s="1343">
        <f t="shared" si="135"/>
        <v>-3300</v>
      </c>
      <c r="G532" s="1351" t="s">
        <v>854</v>
      </c>
      <c r="H532" s="1352">
        <v>0</v>
      </c>
      <c r="I532" s="1348">
        <f t="shared" si="133"/>
        <v>0</v>
      </c>
      <c r="J532" s="1344">
        <v>0</v>
      </c>
    </row>
    <row r="533" spans="1:10" ht="22.5" x14ac:dyDescent="0.2">
      <c r="A533" s="9"/>
      <c r="B533" s="9"/>
      <c r="C533" s="10" t="s">
        <v>489</v>
      </c>
      <c r="D533" s="11" t="s">
        <v>490</v>
      </c>
      <c r="E533" s="1345">
        <v>3555</v>
      </c>
      <c r="F533" s="1343">
        <f t="shared" si="135"/>
        <v>1484</v>
      </c>
      <c r="G533" s="1351" t="s">
        <v>855</v>
      </c>
      <c r="H533" s="1352">
        <v>5039</v>
      </c>
      <c r="I533" s="1348">
        <f t="shared" si="133"/>
        <v>1</v>
      </c>
      <c r="J533" s="1344">
        <v>0</v>
      </c>
    </row>
    <row r="534" spans="1:10" ht="33.75" x14ac:dyDescent="0.2">
      <c r="A534" s="9"/>
      <c r="B534" s="9"/>
      <c r="C534" s="10" t="s">
        <v>417</v>
      </c>
      <c r="D534" s="11" t="s">
        <v>418</v>
      </c>
      <c r="E534" s="1345">
        <v>0</v>
      </c>
      <c r="F534" s="1343">
        <f t="shared" si="135"/>
        <v>300</v>
      </c>
      <c r="G534" s="1351" t="s">
        <v>370</v>
      </c>
      <c r="H534" s="1352">
        <v>300</v>
      </c>
      <c r="I534" s="1348">
        <f t="shared" si="133"/>
        <v>1</v>
      </c>
      <c r="J534" s="1344">
        <v>0</v>
      </c>
    </row>
    <row r="535" spans="1:10" ht="22.5" x14ac:dyDescent="0.2">
      <c r="A535" s="9"/>
      <c r="B535" s="9"/>
      <c r="C535" s="10" t="s">
        <v>433</v>
      </c>
      <c r="D535" s="11" t="s">
        <v>434</v>
      </c>
      <c r="E535" s="1345">
        <v>3380.04</v>
      </c>
      <c r="F535" s="1343">
        <f t="shared" si="135"/>
        <v>-1798</v>
      </c>
      <c r="G535" s="1351" t="s">
        <v>856</v>
      </c>
      <c r="H535" s="1352">
        <v>858</v>
      </c>
      <c r="I535" s="1348">
        <f t="shared" si="133"/>
        <v>0.5423377411443453</v>
      </c>
      <c r="J535" s="1344">
        <v>0</v>
      </c>
    </row>
    <row r="536" spans="1:10" ht="15" x14ac:dyDescent="0.2">
      <c r="A536" s="8"/>
      <c r="B536" s="1632" t="s">
        <v>857</v>
      </c>
      <c r="C536" s="1633"/>
      <c r="D536" s="1634" t="s">
        <v>858</v>
      </c>
      <c r="E536" s="1635">
        <f>E537</f>
        <v>360000</v>
      </c>
      <c r="F536" s="1636">
        <f t="shared" ref="F536:J536" si="136">F537</f>
        <v>0</v>
      </c>
      <c r="G536" s="1637" t="str">
        <f t="shared" si="136"/>
        <v>360 000,00</v>
      </c>
      <c r="H536" s="1637">
        <f t="shared" si="136"/>
        <v>315396.89</v>
      </c>
      <c r="I536" s="1639">
        <f t="shared" si="133"/>
        <v>0.87610247222222226</v>
      </c>
      <c r="J536" s="1635">
        <f t="shared" si="136"/>
        <v>0</v>
      </c>
    </row>
    <row r="537" spans="1:10" x14ac:dyDescent="0.2">
      <c r="A537" s="9"/>
      <c r="B537" s="9"/>
      <c r="C537" s="10" t="s">
        <v>354</v>
      </c>
      <c r="D537" s="11" t="s">
        <v>355</v>
      </c>
      <c r="E537" s="1345">
        <v>360000</v>
      </c>
      <c r="F537" s="1343">
        <f>G537-E537</f>
        <v>0</v>
      </c>
      <c r="G537" s="1351" t="s">
        <v>859</v>
      </c>
      <c r="H537" s="1352">
        <v>315396.89</v>
      </c>
      <c r="I537" s="1348">
        <f t="shared" si="133"/>
        <v>0.87610247222222226</v>
      </c>
      <c r="J537" s="1344">
        <v>0</v>
      </c>
    </row>
    <row r="538" spans="1:10" ht="15" x14ac:dyDescent="0.2">
      <c r="A538" s="8"/>
      <c r="B538" s="1632" t="s">
        <v>860</v>
      </c>
      <c r="C538" s="1633"/>
      <c r="D538" s="1634" t="s">
        <v>861</v>
      </c>
      <c r="E538" s="1635">
        <f>E539+E540+E541+E542</f>
        <v>225500</v>
      </c>
      <c r="F538" s="1636">
        <f t="shared" ref="F538:J538" si="137">F539+F540+F541+F542</f>
        <v>41882</v>
      </c>
      <c r="G538" s="1637">
        <f t="shared" si="137"/>
        <v>267382</v>
      </c>
      <c r="H538" s="1637">
        <f t="shared" si="137"/>
        <v>197142.08000000002</v>
      </c>
      <c r="I538" s="1639">
        <f t="shared" si="133"/>
        <v>0.73730497939277895</v>
      </c>
      <c r="J538" s="1635">
        <f t="shared" si="137"/>
        <v>3000</v>
      </c>
    </row>
    <row r="539" spans="1:10" x14ac:dyDescent="0.2">
      <c r="A539" s="9"/>
      <c r="B539" s="9"/>
      <c r="C539" s="10" t="s">
        <v>363</v>
      </c>
      <c r="D539" s="11" t="s">
        <v>364</v>
      </c>
      <c r="E539" s="1345">
        <v>1500</v>
      </c>
      <c r="F539" s="1343">
        <f>G539-E539</f>
        <v>0</v>
      </c>
      <c r="G539" s="1351" t="s">
        <v>79</v>
      </c>
      <c r="H539" s="1352">
        <v>1483.82</v>
      </c>
      <c r="I539" s="1348">
        <f t="shared" si="133"/>
        <v>0.98921333333333328</v>
      </c>
      <c r="J539" s="1344">
        <v>0</v>
      </c>
    </row>
    <row r="540" spans="1:10" x14ac:dyDescent="0.2">
      <c r="A540" s="9"/>
      <c r="B540" s="9"/>
      <c r="C540" s="10" t="s">
        <v>351</v>
      </c>
      <c r="D540" s="11" t="s">
        <v>352</v>
      </c>
      <c r="E540" s="1345">
        <v>78500</v>
      </c>
      <c r="F540" s="1343">
        <f t="shared" ref="F540:F542" si="138">G540-E540</f>
        <v>801</v>
      </c>
      <c r="G540" s="1351" t="s">
        <v>862</v>
      </c>
      <c r="H540" s="1352">
        <v>77419.67</v>
      </c>
      <c r="I540" s="1348">
        <f t="shared" si="133"/>
        <v>0.97627608731289639</v>
      </c>
      <c r="J540" s="1344">
        <v>0</v>
      </c>
    </row>
    <row r="541" spans="1:10" x14ac:dyDescent="0.2">
      <c r="A541" s="9"/>
      <c r="B541" s="9"/>
      <c r="C541" s="10" t="s">
        <v>367</v>
      </c>
      <c r="D541" s="11" t="s">
        <v>368</v>
      </c>
      <c r="E541" s="1345">
        <v>4000</v>
      </c>
      <c r="F541" s="1343">
        <f t="shared" si="138"/>
        <v>0</v>
      </c>
      <c r="G541" s="1351" t="s">
        <v>210</v>
      </c>
      <c r="H541" s="1352">
        <v>78.78</v>
      </c>
      <c r="I541" s="1348">
        <f t="shared" si="133"/>
        <v>1.9695000000000001E-2</v>
      </c>
      <c r="J541" s="1344">
        <v>0</v>
      </c>
    </row>
    <row r="542" spans="1:10" x14ac:dyDescent="0.2">
      <c r="A542" s="9"/>
      <c r="B542" s="9"/>
      <c r="C542" s="10" t="s">
        <v>354</v>
      </c>
      <c r="D542" s="11" t="s">
        <v>355</v>
      </c>
      <c r="E542" s="1345">
        <v>141500</v>
      </c>
      <c r="F542" s="1343">
        <f t="shared" si="138"/>
        <v>41081</v>
      </c>
      <c r="G542" s="1351" t="s">
        <v>863</v>
      </c>
      <c r="H542" s="1691">
        <v>118159.81</v>
      </c>
      <c r="I542" s="1348">
        <f t="shared" si="133"/>
        <v>0.64716377936367964</v>
      </c>
      <c r="J542" s="1344">
        <v>3000</v>
      </c>
    </row>
    <row r="543" spans="1:10" ht="15" x14ac:dyDescent="0.2">
      <c r="A543" s="8"/>
      <c r="B543" s="1632" t="s">
        <v>864</v>
      </c>
      <c r="C543" s="1633"/>
      <c r="D543" s="1634" t="s">
        <v>865</v>
      </c>
      <c r="E543" s="1635">
        <f>E544</f>
        <v>0</v>
      </c>
      <c r="F543" s="1636">
        <f t="shared" ref="F543:J543" si="139">F544</f>
        <v>47190</v>
      </c>
      <c r="G543" s="1637" t="str">
        <f t="shared" si="139"/>
        <v>47 190,00</v>
      </c>
      <c r="H543" s="1637">
        <f t="shared" si="139"/>
        <v>31659.67</v>
      </c>
      <c r="I543" s="1639">
        <f t="shared" si="133"/>
        <v>0.67089785971604154</v>
      </c>
      <c r="J543" s="1635">
        <f t="shared" si="139"/>
        <v>0</v>
      </c>
    </row>
    <row r="544" spans="1:10" ht="45" x14ac:dyDescent="0.2">
      <c r="A544" s="9"/>
      <c r="B544" s="9"/>
      <c r="C544" s="10" t="s">
        <v>538</v>
      </c>
      <c r="D544" s="11" t="s">
        <v>539</v>
      </c>
      <c r="E544" s="1345">
        <v>0</v>
      </c>
      <c r="F544" s="1343">
        <f>G544-E544</f>
        <v>47190</v>
      </c>
      <c r="G544" s="1351" t="s">
        <v>866</v>
      </c>
      <c r="H544" s="1352">
        <v>31659.67</v>
      </c>
      <c r="I544" s="1348">
        <f t="shared" si="133"/>
        <v>0.67089785971604154</v>
      </c>
      <c r="J544" s="1344">
        <v>0</v>
      </c>
    </row>
    <row r="545" spans="1:10" ht="15" x14ac:dyDescent="0.2">
      <c r="A545" s="8"/>
      <c r="B545" s="1632" t="s">
        <v>867</v>
      </c>
      <c r="C545" s="1633"/>
      <c r="D545" s="1634" t="s">
        <v>868</v>
      </c>
      <c r="E545" s="1635">
        <f>E546+E547+E548+E549+E550+E551+E552</f>
        <v>262022.59</v>
      </c>
      <c r="F545" s="1636">
        <f t="shared" ref="F545:J545" si="140">F546+F547+F548+F549+F550+F551+F552</f>
        <v>-142022.59</v>
      </c>
      <c r="G545" s="1637">
        <f t="shared" si="140"/>
        <v>120000</v>
      </c>
      <c r="H545" s="1637">
        <f t="shared" si="140"/>
        <v>111226.4</v>
      </c>
      <c r="I545" s="1639">
        <f t="shared" si="133"/>
        <v>0.92688666666666664</v>
      </c>
      <c r="J545" s="1635">
        <f t="shared" si="140"/>
        <v>0</v>
      </c>
    </row>
    <row r="546" spans="1:10" ht="45" x14ac:dyDescent="0.2">
      <c r="A546" s="9"/>
      <c r="B546" s="9"/>
      <c r="C546" s="10" t="s">
        <v>205</v>
      </c>
      <c r="D546" s="11" t="s">
        <v>373</v>
      </c>
      <c r="E546" s="1345">
        <v>115000</v>
      </c>
      <c r="F546" s="1343">
        <f>G546-E546</f>
        <v>-1150</v>
      </c>
      <c r="G546" s="1351" t="s">
        <v>869</v>
      </c>
      <c r="H546" s="1352">
        <v>109050</v>
      </c>
      <c r="I546" s="1348">
        <f t="shared" si="133"/>
        <v>0.95783926218708826</v>
      </c>
      <c r="J546" s="1344">
        <v>0</v>
      </c>
    </row>
    <row r="547" spans="1:10" x14ac:dyDescent="0.2">
      <c r="A547" s="9"/>
      <c r="B547" s="9"/>
      <c r="C547" s="10" t="s">
        <v>345</v>
      </c>
      <c r="D547" s="11" t="s">
        <v>346</v>
      </c>
      <c r="E547" s="1345">
        <v>0</v>
      </c>
      <c r="F547" s="1343">
        <f t="shared" ref="F547:F552" si="141">G547-E547</f>
        <v>173</v>
      </c>
      <c r="G547" s="1351" t="s">
        <v>870</v>
      </c>
      <c r="H547" s="1352">
        <v>171.9</v>
      </c>
      <c r="I547" s="1348">
        <f t="shared" si="133"/>
        <v>0.99364161849710986</v>
      </c>
      <c r="J547" s="1344">
        <v>0</v>
      </c>
    </row>
    <row r="548" spans="1:10" x14ac:dyDescent="0.2">
      <c r="A548" s="9"/>
      <c r="B548" s="9"/>
      <c r="C548" s="10" t="s">
        <v>348</v>
      </c>
      <c r="D548" s="11" t="s">
        <v>349</v>
      </c>
      <c r="E548" s="1345">
        <v>0</v>
      </c>
      <c r="F548" s="1343">
        <f t="shared" si="141"/>
        <v>25</v>
      </c>
      <c r="G548" s="1351" t="s">
        <v>871</v>
      </c>
      <c r="H548" s="1352">
        <v>24.5</v>
      </c>
      <c r="I548" s="1348">
        <f t="shared" si="133"/>
        <v>0.98</v>
      </c>
      <c r="J548" s="1344">
        <v>0</v>
      </c>
    </row>
    <row r="549" spans="1:10" x14ac:dyDescent="0.2">
      <c r="A549" s="9"/>
      <c r="B549" s="9"/>
      <c r="C549" s="10" t="s">
        <v>363</v>
      </c>
      <c r="D549" s="11" t="s">
        <v>364</v>
      </c>
      <c r="E549" s="1345">
        <v>0</v>
      </c>
      <c r="F549" s="1343">
        <f t="shared" si="141"/>
        <v>1000</v>
      </c>
      <c r="G549" s="1351" t="s">
        <v>95</v>
      </c>
      <c r="H549" s="1352">
        <v>1000</v>
      </c>
      <c r="I549" s="1348">
        <f t="shared" si="133"/>
        <v>1</v>
      </c>
      <c r="J549" s="1344">
        <v>0</v>
      </c>
    </row>
    <row r="550" spans="1:10" x14ac:dyDescent="0.2">
      <c r="A550" s="9"/>
      <c r="B550" s="9"/>
      <c r="C550" s="10" t="s">
        <v>351</v>
      </c>
      <c r="D550" s="11" t="s">
        <v>352</v>
      </c>
      <c r="E550" s="1345">
        <v>1000</v>
      </c>
      <c r="F550" s="1343">
        <f t="shared" si="141"/>
        <v>0</v>
      </c>
      <c r="G550" s="1351" t="s">
        <v>95</v>
      </c>
      <c r="H550" s="1352">
        <v>600</v>
      </c>
      <c r="I550" s="1348">
        <f t="shared" si="133"/>
        <v>0.6</v>
      </c>
      <c r="J550" s="1344">
        <v>0</v>
      </c>
    </row>
    <row r="551" spans="1:10" x14ac:dyDescent="0.2">
      <c r="A551" s="9"/>
      <c r="B551" s="9"/>
      <c r="C551" s="10" t="s">
        <v>354</v>
      </c>
      <c r="D551" s="11" t="s">
        <v>355</v>
      </c>
      <c r="E551" s="1345">
        <v>4000</v>
      </c>
      <c r="F551" s="1343">
        <f t="shared" si="141"/>
        <v>-48</v>
      </c>
      <c r="G551" s="1351" t="s">
        <v>872</v>
      </c>
      <c r="H551" s="1352">
        <v>380</v>
      </c>
      <c r="I551" s="1348">
        <f t="shared" si="133"/>
        <v>9.6153846153846159E-2</v>
      </c>
      <c r="J551" s="1344">
        <v>0</v>
      </c>
    </row>
    <row r="552" spans="1:10" ht="45" x14ac:dyDescent="0.2">
      <c r="A552" s="9"/>
      <c r="B552" s="9"/>
      <c r="C552" s="10" t="s">
        <v>11</v>
      </c>
      <c r="D552" s="11" t="s">
        <v>379</v>
      </c>
      <c r="E552" s="1345">
        <v>142022.59</v>
      </c>
      <c r="F552" s="1343">
        <f t="shared" si="141"/>
        <v>-142022.59</v>
      </c>
      <c r="G552" s="1351" t="s">
        <v>7</v>
      </c>
      <c r="H552" s="1352">
        <v>0</v>
      </c>
      <c r="I552" s="1348">
        <v>0</v>
      </c>
      <c r="J552" s="1344">
        <v>0</v>
      </c>
    </row>
    <row r="553" spans="1:10" ht="15" x14ac:dyDescent="0.2">
      <c r="A553" s="8"/>
      <c r="B553" s="1632" t="s">
        <v>873</v>
      </c>
      <c r="C553" s="1633"/>
      <c r="D553" s="1634" t="s">
        <v>874</v>
      </c>
      <c r="E553" s="1635">
        <f>E554+E555+E556+E557</f>
        <v>981000</v>
      </c>
      <c r="F553" s="1636">
        <f t="shared" ref="F553:J553" si="142">F554+F555+F556+F557</f>
        <v>152169.13</v>
      </c>
      <c r="G553" s="1637">
        <f t="shared" si="142"/>
        <v>1133169.1299999999</v>
      </c>
      <c r="H553" s="1637">
        <f t="shared" si="142"/>
        <v>1005711.93</v>
      </c>
      <c r="I553" s="1639">
        <f t="shared" si="133"/>
        <v>0.88752146822072375</v>
      </c>
      <c r="J553" s="1635">
        <f t="shared" si="142"/>
        <v>50848.61</v>
      </c>
    </row>
    <row r="554" spans="1:10" x14ac:dyDescent="0.2">
      <c r="A554" s="9"/>
      <c r="B554" s="9"/>
      <c r="C554" s="10" t="s">
        <v>367</v>
      </c>
      <c r="D554" s="11" t="s">
        <v>368</v>
      </c>
      <c r="E554" s="1345">
        <v>550000</v>
      </c>
      <c r="F554" s="1343">
        <f>G554-E554</f>
        <v>0</v>
      </c>
      <c r="G554" s="1351" t="s">
        <v>875</v>
      </c>
      <c r="H554" s="1352">
        <v>438803.98</v>
      </c>
      <c r="I554" s="1348">
        <f t="shared" si="133"/>
        <v>0.79782541818181818</v>
      </c>
      <c r="J554" s="1344">
        <v>50719.9</v>
      </c>
    </row>
    <row r="555" spans="1:10" x14ac:dyDescent="0.2">
      <c r="A555" s="9"/>
      <c r="B555" s="9"/>
      <c r="C555" s="10" t="s">
        <v>354</v>
      </c>
      <c r="D555" s="11" t="s">
        <v>355</v>
      </c>
      <c r="E555" s="1345">
        <v>341000</v>
      </c>
      <c r="F555" s="1343">
        <f t="shared" ref="F555:F557" si="143">G555-E555</f>
        <v>59100</v>
      </c>
      <c r="G555" s="1351" t="s">
        <v>876</v>
      </c>
      <c r="H555" s="1352">
        <v>383890.32</v>
      </c>
      <c r="I555" s="1348">
        <f t="shared" si="133"/>
        <v>0.95948592851787051</v>
      </c>
      <c r="J555" s="1344">
        <v>128.71</v>
      </c>
    </row>
    <row r="556" spans="1:10" ht="22.5" x14ac:dyDescent="0.2">
      <c r="A556" s="9"/>
      <c r="B556" s="9"/>
      <c r="C556" s="10" t="s">
        <v>481</v>
      </c>
      <c r="D556" s="11" t="s">
        <v>482</v>
      </c>
      <c r="E556" s="1345">
        <v>0</v>
      </c>
      <c r="F556" s="1343">
        <f t="shared" si="143"/>
        <v>900</v>
      </c>
      <c r="G556" s="1351" t="s">
        <v>761</v>
      </c>
      <c r="H556" s="1352">
        <v>861</v>
      </c>
      <c r="I556" s="1348">
        <f t="shared" si="133"/>
        <v>0.95666666666666667</v>
      </c>
      <c r="J556" s="1344">
        <v>0</v>
      </c>
    </row>
    <row r="557" spans="1:10" x14ac:dyDescent="0.2">
      <c r="A557" s="9"/>
      <c r="B557" s="9"/>
      <c r="C557" s="10" t="s">
        <v>360</v>
      </c>
      <c r="D557" s="11" t="s">
        <v>361</v>
      </c>
      <c r="E557" s="1345">
        <v>90000</v>
      </c>
      <c r="F557" s="1343">
        <f t="shared" si="143"/>
        <v>92169.13</v>
      </c>
      <c r="G557" s="1351" t="s">
        <v>877</v>
      </c>
      <c r="H557" s="1352">
        <v>182156.63</v>
      </c>
      <c r="I557" s="1348">
        <f t="shared" si="133"/>
        <v>0.99993138244663082</v>
      </c>
      <c r="J557" s="1344">
        <v>0</v>
      </c>
    </row>
    <row r="558" spans="1:10" ht="33.75" x14ac:dyDescent="0.2">
      <c r="A558" s="8"/>
      <c r="B558" s="1632" t="s">
        <v>313</v>
      </c>
      <c r="C558" s="1633"/>
      <c r="D558" s="1634" t="s">
        <v>314</v>
      </c>
      <c r="E558" s="1635">
        <f>E559</f>
        <v>10000</v>
      </c>
      <c r="F558" s="1636">
        <f t="shared" ref="F558:J558" si="144">F559</f>
        <v>-3000</v>
      </c>
      <c r="G558" s="1637" t="str">
        <f t="shared" si="144"/>
        <v>7 000,00</v>
      </c>
      <c r="H558" s="1637">
        <f t="shared" si="144"/>
        <v>6990</v>
      </c>
      <c r="I558" s="1639">
        <f t="shared" si="133"/>
        <v>0.99857142857142855</v>
      </c>
      <c r="J558" s="1635">
        <f t="shared" si="144"/>
        <v>0</v>
      </c>
    </row>
    <row r="559" spans="1:10" x14ac:dyDescent="0.2">
      <c r="A559" s="9"/>
      <c r="B559" s="9"/>
      <c r="C559" s="10" t="s">
        <v>357</v>
      </c>
      <c r="D559" s="11" t="s">
        <v>358</v>
      </c>
      <c r="E559" s="1345">
        <v>10000</v>
      </c>
      <c r="F559" s="1343">
        <f>G559-E559</f>
        <v>-3000</v>
      </c>
      <c r="G559" s="1351" t="s">
        <v>878</v>
      </c>
      <c r="H559" s="1352">
        <v>6990</v>
      </c>
      <c r="I559" s="1348">
        <f t="shared" si="133"/>
        <v>0.99857142857142855</v>
      </c>
      <c r="J559" s="1344">
        <v>0</v>
      </c>
    </row>
    <row r="560" spans="1:10" ht="15" x14ac:dyDescent="0.2">
      <c r="A560" s="8"/>
      <c r="B560" s="1632" t="s">
        <v>315</v>
      </c>
      <c r="C560" s="1633"/>
      <c r="D560" s="1634" t="s">
        <v>14</v>
      </c>
      <c r="E560" s="1635">
        <f>E561+E562+E563+E564+E565+E566+E567+E568</f>
        <v>301713.59999999998</v>
      </c>
      <c r="F560" s="1636">
        <f t="shared" ref="F560:J560" si="145">F561+F562+F563+F564+F565+F566+F567+F568</f>
        <v>-3000</v>
      </c>
      <c r="G560" s="1637">
        <f t="shared" si="145"/>
        <v>298713.59999999998</v>
      </c>
      <c r="H560" s="1637">
        <f t="shared" si="145"/>
        <v>258462.07999999999</v>
      </c>
      <c r="I560" s="1639">
        <f t="shared" si="133"/>
        <v>0.86525046064189914</v>
      </c>
      <c r="J560" s="1635">
        <f t="shared" si="145"/>
        <v>16409.75</v>
      </c>
    </row>
    <row r="561" spans="1:10" x14ac:dyDescent="0.2">
      <c r="A561" s="9"/>
      <c r="B561" s="9"/>
      <c r="C561" s="10" t="s">
        <v>345</v>
      </c>
      <c r="D561" s="11" t="s">
        <v>346</v>
      </c>
      <c r="E561" s="1345">
        <v>4125.6000000000004</v>
      </c>
      <c r="F561" s="1343">
        <f>G561-E561</f>
        <v>0</v>
      </c>
      <c r="G561" s="1351" t="s">
        <v>879</v>
      </c>
      <c r="H561" s="1352">
        <v>2167.14</v>
      </c>
      <c r="I561" s="1348">
        <f t="shared" si="133"/>
        <v>0.52529086678301329</v>
      </c>
      <c r="J561" s="1344">
        <v>0</v>
      </c>
    </row>
    <row r="562" spans="1:10" x14ac:dyDescent="0.2">
      <c r="A562" s="9"/>
      <c r="B562" s="9"/>
      <c r="C562" s="10" t="s">
        <v>348</v>
      </c>
      <c r="D562" s="11" t="s">
        <v>349</v>
      </c>
      <c r="E562" s="1345">
        <v>588</v>
      </c>
      <c r="F562" s="1343">
        <f t="shared" ref="F562:F568" si="146">G562-E562</f>
        <v>0</v>
      </c>
      <c r="G562" s="1351" t="s">
        <v>880</v>
      </c>
      <c r="H562" s="1352">
        <v>308.87</v>
      </c>
      <c r="I562" s="1348">
        <f t="shared" si="133"/>
        <v>0.52528911564625846</v>
      </c>
      <c r="J562" s="1344">
        <v>0</v>
      </c>
    </row>
    <row r="563" spans="1:10" x14ac:dyDescent="0.2">
      <c r="A563" s="9"/>
      <c r="B563" s="9"/>
      <c r="C563" s="10" t="s">
        <v>363</v>
      </c>
      <c r="D563" s="11" t="s">
        <v>364</v>
      </c>
      <c r="E563" s="1345">
        <v>24000</v>
      </c>
      <c r="F563" s="1343">
        <f t="shared" si="146"/>
        <v>0</v>
      </c>
      <c r="G563" s="1351" t="s">
        <v>881</v>
      </c>
      <c r="H563" s="1352">
        <v>20511</v>
      </c>
      <c r="I563" s="1348">
        <f t="shared" si="133"/>
        <v>0.85462499999999997</v>
      </c>
      <c r="J563" s="1344">
        <v>0</v>
      </c>
    </row>
    <row r="564" spans="1:10" x14ac:dyDescent="0.2">
      <c r="A564" s="9"/>
      <c r="B564" s="9"/>
      <c r="C564" s="10" t="s">
        <v>351</v>
      </c>
      <c r="D564" s="11" t="s">
        <v>352</v>
      </c>
      <c r="E564" s="1345">
        <v>20000</v>
      </c>
      <c r="F564" s="1343">
        <f t="shared" si="146"/>
        <v>-6500</v>
      </c>
      <c r="G564" s="1351" t="s">
        <v>678</v>
      </c>
      <c r="H564" s="1352">
        <v>10948.11</v>
      </c>
      <c r="I564" s="1348">
        <f t="shared" si="133"/>
        <v>0.8109711111111112</v>
      </c>
      <c r="J564" s="1344">
        <v>0</v>
      </c>
    </row>
    <row r="565" spans="1:10" x14ac:dyDescent="0.2">
      <c r="A565" s="9"/>
      <c r="B565" s="9"/>
      <c r="C565" s="10" t="s">
        <v>367</v>
      </c>
      <c r="D565" s="11" t="s">
        <v>368</v>
      </c>
      <c r="E565" s="1345">
        <v>185000</v>
      </c>
      <c r="F565" s="1343">
        <f t="shared" si="146"/>
        <v>0</v>
      </c>
      <c r="G565" s="1351" t="s">
        <v>882</v>
      </c>
      <c r="H565" s="1352">
        <v>155662.41</v>
      </c>
      <c r="I565" s="1348">
        <f t="shared" si="133"/>
        <v>0.84141843243243242</v>
      </c>
      <c r="J565" s="1344">
        <v>15081.35</v>
      </c>
    </row>
    <row r="566" spans="1:10" x14ac:dyDescent="0.2">
      <c r="A566" s="9"/>
      <c r="B566" s="9"/>
      <c r="C566" s="10" t="s">
        <v>381</v>
      </c>
      <c r="D566" s="11" t="s">
        <v>382</v>
      </c>
      <c r="E566" s="1345">
        <v>10000</v>
      </c>
      <c r="F566" s="1343">
        <f t="shared" si="146"/>
        <v>-10000</v>
      </c>
      <c r="G566" s="1351" t="s">
        <v>7</v>
      </c>
      <c r="H566" s="1352">
        <v>0</v>
      </c>
      <c r="I566" s="1348">
        <v>0</v>
      </c>
      <c r="J566" s="1344">
        <v>0</v>
      </c>
    </row>
    <row r="567" spans="1:10" x14ac:dyDescent="0.2">
      <c r="A567" s="9"/>
      <c r="B567" s="9"/>
      <c r="C567" s="10" t="s">
        <v>354</v>
      </c>
      <c r="D567" s="11" t="s">
        <v>355</v>
      </c>
      <c r="E567" s="1345">
        <v>28000</v>
      </c>
      <c r="F567" s="1343">
        <f t="shared" si="146"/>
        <v>13500</v>
      </c>
      <c r="G567" s="1351" t="s">
        <v>883</v>
      </c>
      <c r="H567" s="1352">
        <v>40864.559999999998</v>
      </c>
      <c r="I567" s="1348">
        <f t="shared" si="133"/>
        <v>0.98468819277108433</v>
      </c>
      <c r="J567" s="1344">
        <v>1328.4</v>
      </c>
    </row>
    <row r="568" spans="1:10" x14ac:dyDescent="0.2">
      <c r="A568" s="9"/>
      <c r="B568" s="9"/>
      <c r="C568" s="10" t="s">
        <v>360</v>
      </c>
      <c r="D568" s="11" t="s">
        <v>361</v>
      </c>
      <c r="E568" s="1345">
        <v>30000</v>
      </c>
      <c r="F568" s="1343">
        <f t="shared" si="146"/>
        <v>0</v>
      </c>
      <c r="G568" s="1351" t="s">
        <v>138</v>
      </c>
      <c r="H568" s="1352">
        <v>27999.99</v>
      </c>
      <c r="I568" s="1348">
        <f t="shared" si="133"/>
        <v>0.93333300000000008</v>
      </c>
      <c r="J568" s="1344">
        <v>0</v>
      </c>
    </row>
    <row r="569" spans="1:10" x14ac:dyDescent="0.2">
      <c r="A569" s="1640" t="s">
        <v>317</v>
      </c>
      <c r="B569" s="1640"/>
      <c r="C569" s="1640"/>
      <c r="D569" s="1641" t="s">
        <v>318</v>
      </c>
      <c r="E569" s="1642">
        <f>E570+E575+E587+E591+E596+E598+E600</f>
        <v>2155665.52</v>
      </c>
      <c r="F569" s="1643">
        <f t="shared" ref="F569:J569" si="147">F570+F575+F587+F591+F596+F598+F600</f>
        <v>476364.54000000004</v>
      </c>
      <c r="G569" s="1644">
        <f t="shared" si="147"/>
        <v>2632030.06</v>
      </c>
      <c r="H569" s="1644">
        <f t="shared" si="147"/>
        <v>2527810.2199999997</v>
      </c>
      <c r="I569" s="1645">
        <f t="shared" si="133"/>
        <v>0.96040324858599813</v>
      </c>
      <c r="J569" s="1642">
        <f t="shared" si="147"/>
        <v>3242.78</v>
      </c>
    </row>
    <row r="570" spans="1:10" ht="15" x14ac:dyDescent="0.2">
      <c r="A570" s="8"/>
      <c r="B570" s="1632" t="s">
        <v>884</v>
      </c>
      <c r="C570" s="1633"/>
      <c r="D570" s="1634" t="s">
        <v>885</v>
      </c>
      <c r="E570" s="1635">
        <f>E571+E572+E573+E574</f>
        <v>31000</v>
      </c>
      <c r="F570" s="1636">
        <f t="shared" ref="F570:J570" si="148">F571+F572+F573+F574</f>
        <v>24822.59</v>
      </c>
      <c r="G570" s="1637">
        <f t="shared" si="148"/>
        <v>55822.59</v>
      </c>
      <c r="H570" s="1637">
        <f t="shared" si="148"/>
        <v>49781.38</v>
      </c>
      <c r="I570" s="1639">
        <f t="shared" si="133"/>
        <v>0.89177840010648024</v>
      </c>
      <c r="J570" s="1635">
        <f t="shared" si="148"/>
        <v>0</v>
      </c>
    </row>
    <row r="571" spans="1:10" ht="56.25" x14ac:dyDescent="0.2">
      <c r="A571" s="9"/>
      <c r="B571" s="9"/>
      <c r="C571" s="10" t="s">
        <v>263</v>
      </c>
      <c r="D571" s="11" t="s">
        <v>547</v>
      </c>
      <c r="E571" s="1345">
        <v>9000</v>
      </c>
      <c r="F571" s="1343">
        <f>G571-E571</f>
        <v>4500</v>
      </c>
      <c r="G571" s="1351" t="s">
        <v>678</v>
      </c>
      <c r="H571" s="1352">
        <v>13180</v>
      </c>
      <c r="I571" s="1348">
        <f t="shared" si="133"/>
        <v>0.97629629629629633</v>
      </c>
      <c r="J571" s="1344">
        <v>0</v>
      </c>
    </row>
    <row r="572" spans="1:10" x14ac:dyDescent="0.2">
      <c r="A572" s="9"/>
      <c r="B572" s="9"/>
      <c r="C572" s="10" t="s">
        <v>363</v>
      </c>
      <c r="D572" s="11" t="s">
        <v>364</v>
      </c>
      <c r="E572" s="1345">
        <v>0</v>
      </c>
      <c r="F572" s="1343">
        <f t="shared" ref="F572:F574" si="149">G572-E572</f>
        <v>1200</v>
      </c>
      <c r="G572" s="1351" t="s">
        <v>487</v>
      </c>
      <c r="H572" s="1352">
        <v>1200</v>
      </c>
      <c r="I572" s="1348">
        <f t="shared" si="133"/>
        <v>1</v>
      </c>
      <c r="J572" s="1344">
        <v>0</v>
      </c>
    </row>
    <row r="573" spans="1:10" x14ac:dyDescent="0.2">
      <c r="A573" s="9"/>
      <c r="B573" s="9"/>
      <c r="C573" s="10" t="s">
        <v>351</v>
      </c>
      <c r="D573" s="11" t="s">
        <v>352</v>
      </c>
      <c r="E573" s="1345">
        <v>10000</v>
      </c>
      <c r="F573" s="1343">
        <f t="shared" si="149"/>
        <v>-1000</v>
      </c>
      <c r="G573" s="1351" t="s">
        <v>393</v>
      </c>
      <c r="H573" s="1352">
        <v>3626.67</v>
      </c>
      <c r="I573" s="1348">
        <f t="shared" si="133"/>
        <v>0.40296333333333334</v>
      </c>
      <c r="J573" s="1344">
        <v>0</v>
      </c>
    </row>
    <row r="574" spans="1:10" x14ac:dyDescent="0.2">
      <c r="A574" s="9"/>
      <c r="B574" s="9"/>
      <c r="C574" s="10" t="s">
        <v>354</v>
      </c>
      <c r="D574" s="11" t="s">
        <v>355</v>
      </c>
      <c r="E574" s="1345">
        <v>12000</v>
      </c>
      <c r="F574" s="1343">
        <f t="shared" si="149"/>
        <v>20122.59</v>
      </c>
      <c r="G574" s="1351" t="s">
        <v>886</v>
      </c>
      <c r="H574" s="1691">
        <v>31774.71</v>
      </c>
      <c r="I574" s="1348">
        <f t="shared" si="133"/>
        <v>0.98917023814082239</v>
      </c>
      <c r="J574" s="1344">
        <v>0</v>
      </c>
    </row>
    <row r="575" spans="1:10" ht="15" x14ac:dyDescent="0.2">
      <c r="A575" s="8"/>
      <c r="B575" s="1632" t="s">
        <v>319</v>
      </c>
      <c r="C575" s="1633"/>
      <c r="D575" s="1634" t="s">
        <v>320</v>
      </c>
      <c r="E575" s="1635">
        <f>E576+E577+E578+E579+E580+E581+E582+E583+E584+E585+E586</f>
        <v>1105056.83</v>
      </c>
      <c r="F575" s="1636">
        <f t="shared" ref="F575:J575" si="150">F576+F577+F578+F579+F580+F581+F582+F583+F584+F585+F586</f>
        <v>283921.73</v>
      </c>
      <c r="G575" s="1637">
        <f t="shared" si="150"/>
        <v>1388978.56</v>
      </c>
      <c r="H575" s="1637">
        <f t="shared" si="150"/>
        <v>1293108.8199999998</v>
      </c>
      <c r="I575" s="1639">
        <f t="shared" si="133"/>
        <v>0.93097824346547131</v>
      </c>
      <c r="J575" s="1635">
        <f t="shared" si="150"/>
        <v>3242.78</v>
      </c>
    </row>
    <row r="576" spans="1:10" ht="22.5" x14ac:dyDescent="0.2">
      <c r="A576" s="9"/>
      <c r="B576" s="9"/>
      <c r="C576" s="10" t="s">
        <v>887</v>
      </c>
      <c r="D576" s="11" t="s">
        <v>888</v>
      </c>
      <c r="E576" s="1345">
        <v>975680</v>
      </c>
      <c r="F576" s="1343">
        <f>G576-E576</f>
        <v>53000</v>
      </c>
      <c r="G576" s="1351" t="s">
        <v>889</v>
      </c>
      <c r="H576" s="1352">
        <v>1028680</v>
      </c>
      <c r="I576" s="1348">
        <f t="shared" si="133"/>
        <v>1</v>
      </c>
      <c r="J576" s="1344">
        <v>0</v>
      </c>
    </row>
    <row r="577" spans="1:10" x14ac:dyDescent="0.2">
      <c r="A577" s="9"/>
      <c r="B577" s="9"/>
      <c r="C577" s="10" t="s">
        <v>345</v>
      </c>
      <c r="D577" s="11" t="s">
        <v>346</v>
      </c>
      <c r="E577" s="1345">
        <v>344</v>
      </c>
      <c r="F577" s="1343">
        <f t="shared" ref="F577:F586" si="151">G577-E577</f>
        <v>0</v>
      </c>
      <c r="G577" s="1351" t="s">
        <v>890</v>
      </c>
      <c r="H577" s="1352">
        <v>0</v>
      </c>
      <c r="I577" s="1348">
        <f t="shared" si="133"/>
        <v>0</v>
      </c>
      <c r="J577" s="1344">
        <v>0</v>
      </c>
    </row>
    <row r="578" spans="1:10" x14ac:dyDescent="0.2">
      <c r="A578" s="9"/>
      <c r="B578" s="9"/>
      <c r="C578" s="10" t="s">
        <v>348</v>
      </c>
      <c r="D578" s="11" t="s">
        <v>349</v>
      </c>
      <c r="E578" s="1345">
        <v>49</v>
      </c>
      <c r="F578" s="1343">
        <f t="shared" si="151"/>
        <v>0</v>
      </c>
      <c r="G578" s="1351" t="s">
        <v>891</v>
      </c>
      <c r="H578" s="1352">
        <v>0</v>
      </c>
      <c r="I578" s="1348">
        <f t="shared" si="133"/>
        <v>0</v>
      </c>
      <c r="J578" s="1344">
        <v>0</v>
      </c>
    </row>
    <row r="579" spans="1:10" x14ac:dyDescent="0.2">
      <c r="A579" s="9"/>
      <c r="B579" s="9"/>
      <c r="C579" s="10" t="s">
        <v>363</v>
      </c>
      <c r="D579" s="11" t="s">
        <v>364</v>
      </c>
      <c r="E579" s="1345">
        <v>5000</v>
      </c>
      <c r="F579" s="1343">
        <f t="shared" si="151"/>
        <v>0</v>
      </c>
      <c r="G579" s="1351" t="s">
        <v>588</v>
      </c>
      <c r="H579" s="1352">
        <v>4752</v>
      </c>
      <c r="I579" s="1348">
        <f t="shared" si="133"/>
        <v>0.95040000000000002</v>
      </c>
      <c r="J579" s="1344">
        <v>0</v>
      </c>
    </row>
    <row r="580" spans="1:10" x14ac:dyDescent="0.2">
      <c r="A580" s="9"/>
      <c r="B580" s="9"/>
      <c r="C580" s="10" t="s">
        <v>351</v>
      </c>
      <c r="D580" s="11" t="s">
        <v>352</v>
      </c>
      <c r="E580" s="1345">
        <v>42219.46</v>
      </c>
      <c r="F580" s="1343">
        <f t="shared" si="151"/>
        <v>3700</v>
      </c>
      <c r="G580" s="1351" t="s">
        <v>892</v>
      </c>
      <c r="H580" s="1352">
        <v>45297.71</v>
      </c>
      <c r="I580" s="1348">
        <f t="shared" si="133"/>
        <v>0.98645998885875397</v>
      </c>
      <c r="J580" s="1344">
        <v>0</v>
      </c>
    </row>
    <row r="581" spans="1:10" x14ac:dyDescent="0.2">
      <c r="A581" s="9"/>
      <c r="B581" s="9"/>
      <c r="C581" s="10" t="s">
        <v>367</v>
      </c>
      <c r="D581" s="11" t="s">
        <v>368</v>
      </c>
      <c r="E581" s="1345">
        <v>60130.84</v>
      </c>
      <c r="F581" s="1343">
        <f t="shared" si="151"/>
        <v>-130.83999999999651</v>
      </c>
      <c r="G581" s="1351" t="s">
        <v>105</v>
      </c>
      <c r="H581" s="1352">
        <v>51857.48</v>
      </c>
      <c r="I581" s="1348">
        <f t="shared" si="133"/>
        <v>0.86429133333333341</v>
      </c>
      <c r="J581" s="1344">
        <v>3027.78</v>
      </c>
    </row>
    <row r="582" spans="1:10" x14ac:dyDescent="0.2">
      <c r="A582" s="9"/>
      <c r="B582" s="9"/>
      <c r="C582" s="10" t="s">
        <v>381</v>
      </c>
      <c r="D582" s="11" t="s">
        <v>382</v>
      </c>
      <c r="E582" s="1345">
        <v>0</v>
      </c>
      <c r="F582" s="1343">
        <f t="shared" si="151"/>
        <v>187687.57</v>
      </c>
      <c r="G582" s="1351" t="s">
        <v>893</v>
      </c>
      <c r="H582" s="1352">
        <v>102943</v>
      </c>
      <c r="I582" s="1348">
        <f t="shared" si="133"/>
        <v>0.5484806479193054</v>
      </c>
      <c r="J582" s="1344">
        <v>0</v>
      </c>
    </row>
    <row r="583" spans="1:10" x14ac:dyDescent="0.2">
      <c r="A583" s="9"/>
      <c r="B583" s="9"/>
      <c r="C583" s="10" t="s">
        <v>354</v>
      </c>
      <c r="D583" s="11" t="s">
        <v>355</v>
      </c>
      <c r="E583" s="1345">
        <v>20308.53</v>
      </c>
      <c r="F583" s="1343">
        <f t="shared" si="151"/>
        <v>14400</v>
      </c>
      <c r="G583" s="1351" t="s">
        <v>894</v>
      </c>
      <c r="H583" s="1352">
        <v>32988.629999999997</v>
      </c>
      <c r="I583" s="1348">
        <f t="shared" ref="I583:I626" si="152">H583/G583</f>
        <v>0.95044733960210925</v>
      </c>
      <c r="J583" s="1344">
        <v>215</v>
      </c>
    </row>
    <row r="584" spans="1:10" x14ac:dyDescent="0.2">
      <c r="A584" s="9"/>
      <c r="B584" s="9"/>
      <c r="C584" s="10" t="s">
        <v>475</v>
      </c>
      <c r="D584" s="11" t="s">
        <v>476</v>
      </c>
      <c r="E584" s="1345">
        <v>1325</v>
      </c>
      <c r="F584" s="1343">
        <f t="shared" si="151"/>
        <v>0</v>
      </c>
      <c r="G584" s="1351" t="s">
        <v>895</v>
      </c>
      <c r="H584" s="1352">
        <v>1325</v>
      </c>
      <c r="I584" s="1348">
        <f t="shared" si="152"/>
        <v>1</v>
      </c>
      <c r="J584" s="1344">
        <v>0</v>
      </c>
    </row>
    <row r="585" spans="1:10" x14ac:dyDescent="0.2">
      <c r="A585" s="9"/>
      <c r="B585" s="9"/>
      <c r="C585" s="10" t="s">
        <v>360</v>
      </c>
      <c r="D585" s="11" t="s">
        <v>361</v>
      </c>
      <c r="E585" s="1345">
        <v>0</v>
      </c>
      <c r="F585" s="1343">
        <f t="shared" si="151"/>
        <v>20000</v>
      </c>
      <c r="G585" s="1351" t="s">
        <v>102</v>
      </c>
      <c r="H585" s="1352">
        <v>20000</v>
      </c>
      <c r="I585" s="1348">
        <f t="shared" si="152"/>
        <v>1</v>
      </c>
      <c r="J585" s="1344">
        <v>0</v>
      </c>
    </row>
    <row r="586" spans="1:10" ht="22.5" x14ac:dyDescent="0.2">
      <c r="A586" s="9"/>
      <c r="B586" s="9"/>
      <c r="C586" s="10" t="s">
        <v>395</v>
      </c>
      <c r="D586" s="11" t="s">
        <v>396</v>
      </c>
      <c r="E586" s="1345">
        <v>0</v>
      </c>
      <c r="F586" s="1343">
        <f t="shared" si="151"/>
        <v>5265</v>
      </c>
      <c r="G586" s="1351" t="s">
        <v>896</v>
      </c>
      <c r="H586" s="1352">
        <v>5265</v>
      </c>
      <c r="I586" s="1348">
        <f t="shared" si="152"/>
        <v>1</v>
      </c>
      <c r="J586" s="1344">
        <v>0</v>
      </c>
    </row>
    <row r="587" spans="1:10" ht="15" x14ac:dyDescent="0.2">
      <c r="A587" s="8"/>
      <c r="B587" s="1632" t="s">
        <v>897</v>
      </c>
      <c r="C587" s="1633"/>
      <c r="D587" s="1634" t="s">
        <v>898</v>
      </c>
      <c r="E587" s="1635">
        <f>E588+E589+E590</f>
        <v>339957.9</v>
      </c>
      <c r="F587" s="1636">
        <f t="shared" ref="F587:J587" si="153">F588+F589+F590</f>
        <v>-20000</v>
      </c>
      <c r="G587" s="1637">
        <f t="shared" si="153"/>
        <v>319957.90000000002</v>
      </c>
      <c r="H587" s="1637">
        <f t="shared" si="153"/>
        <v>319957.90000000002</v>
      </c>
      <c r="I587" s="1639">
        <f t="shared" si="152"/>
        <v>1</v>
      </c>
      <c r="J587" s="1635">
        <f t="shared" si="153"/>
        <v>0</v>
      </c>
    </row>
    <row r="588" spans="1:10" ht="22.5" x14ac:dyDescent="0.2">
      <c r="A588" s="9"/>
      <c r="B588" s="9"/>
      <c r="C588" s="10" t="s">
        <v>887</v>
      </c>
      <c r="D588" s="11" t="s">
        <v>888</v>
      </c>
      <c r="E588" s="1345">
        <v>339620</v>
      </c>
      <c r="F588" s="1343">
        <f>G588-E588</f>
        <v>-20000</v>
      </c>
      <c r="G588" s="1351" t="s">
        <v>899</v>
      </c>
      <c r="H588" s="1352">
        <v>319620</v>
      </c>
      <c r="I588" s="1348">
        <f t="shared" si="152"/>
        <v>1</v>
      </c>
      <c r="J588" s="1344">
        <v>0</v>
      </c>
    </row>
    <row r="589" spans="1:10" x14ac:dyDescent="0.2">
      <c r="A589" s="9"/>
      <c r="B589" s="9"/>
      <c r="C589" s="10" t="s">
        <v>351</v>
      </c>
      <c r="D589" s="11" t="s">
        <v>352</v>
      </c>
      <c r="E589" s="1345">
        <v>337.9</v>
      </c>
      <c r="F589" s="1343">
        <f t="shared" ref="F589:F590" si="154">G589-E589</f>
        <v>-337.9</v>
      </c>
      <c r="G589" s="1351" t="s">
        <v>7</v>
      </c>
      <c r="H589" s="1352">
        <v>0</v>
      </c>
      <c r="I589" s="1348">
        <v>0</v>
      </c>
      <c r="J589" s="1344">
        <v>0</v>
      </c>
    </row>
    <row r="590" spans="1:10" x14ac:dyDescent="0.2">
      <c r="A590" s="9"/>
      <c r="B590" s="9"/>
      <c r="C590" s="10" t="s">
        <v>573</v>
      </c>
      <c r="D590" s="11" t="s">
        <v>574</v>
      </c>
      <c r="E590" s="1345">
        <v>0</v>
      </c>
      <c r="F590" s="1343">
        <f t="shared" si="154"/>
        <v>337.9</v>
      </c>
      <c r="G590" s="1351" t="s">
        <v>900</v>
      </c>
      <c r="H590" s="1352">
        <v>337.9</v>
      </c>
      <c r="I590" s="1348">
        <f t="shared" si="152"/>
        <v>1</v>
      </c>
      <c r="J590" s="1344">
        <v>0</v>
      </c>
    </row>
    <row r="591" spans="1:10" ht="15" x14ac:dyDescent="0.2">
      <c r="A591" s="8"/>
      <c r="B591" s="1632" t="s">
        <v>901</v>
      </c>
      <c r="C591" s="1633"/>
      <c r="D591" s="1634" t="s">
        <v>902</v>
      </c>
      <c r="E591" s="1635">
        <f>E592+E593+E594+E595</f>
        <v>498700</v>
      </c>
      <c r="F591" s="1636">
        <f t="shared" ref="F591:J591" si="155">F592+F593+F594+F595</f>
        <v>102765.38</v>
      </c>
      <c r="G591" s="1637">
        <f t="shared" si="155"/>
        <v>601465.38</v>
      </c>
      <c r="H591" s="1637">
        <f t="shared" si="155"/>
        <v>600985.87</v>
      </c>
      <c r="I591" s="1639">
        <f t="shared" si="152"/>
        <v>0.99920276375674355</v>
      </c>
      <c r="J591" s="1635">
        <f t="shared" si="155"/>
        <v>0</v>
      </c>
    </row>
    <row r="592" spans="1:10" ht="22.5" x14ac:dyDescent="0.2">
      <c r="A592" s="9"/>
      <c r="B592" s="9"/>
      <c r="C592" s="10" t="s">
        <v>887</v>
      </c>
      <c r="D592" s="11" t="s">
        <v>888</v>
      </c>
      <c r="E592" s="1345">
        <v>498700</v>
      </c>
      <c r="F592" s="1343">
        <f>G592-E592</f>
        <v>0</v>
      </c>
      <c r="G592" s="1351" t="s">
        <v>903</v>
      </c>
      <c r="H592" s="1352">
        <v>498700</v>
      </c>
      <c r="I592" s="1348">
        <f t="shared" si="152"/>
        <v>1</v>
      </c>
      <c r="J592" s="1344">
        <v>0</v>
      </c>
    </row>
    <row r="593" spans="1:10" x14ac:dyDescent="0.2">
      <c r="A593" s="9"/>
      <c r="B593" s="9"/>
      <c r="C593" s="10" t="s">
        <v>360</v>
      </c>
      <c r="D593" s="11" t="s">
        <v>361</v>
      </c>
      <c r="E593" s="1345">
        <v>0</v>
      </c>
      <c r="F593" s="1343">
        <f>G593-E593</f>
        <v>102765.38</v>
      </c>
      <c r="G593" s="1351" t="s">
        <v>904</v>
      </c>
      <c r="H593" s="1352">
        <v>102285.87</v>
      </c>
      <c r="I593" s="1348">
        <f t="shared" si="152"/>
        <v>0.99533393444368123</v>
      </c>
      <c r="J593" s="1344">
        <v>0</v>
      </c>
    </row>
    <row r="594" spans="1:10" x14ac:dyDescent="0.2">
      <c r="A594" s="9"/>
      <c r="B594" s="9"/>
      <c r="C594" s="10" t="s">
        <v>905</v>
      </c>
      <c r="D594" s="11" t="s">
        <v>361</v>
      </c>
      <c r="E594" s="1345">
        <v>0</v>
      </c>
      <c r="F594" s="1343">
        <f>G594-E594</f>
        <v>0</v>
      </c>
      <c r="G594" s="1351" t="s">
        <v>7</v>
      </c>
      <c r="H594" s="1352">
        <v>0</v>
      </c>
      <c r="I594" s="1348">
        <v>0</v>
      </c>
      <c r="J594" s="1344">
        <v>0</v>
      </c>
    </row>
    <row r="595" spans="1:10" x14ac:dyDescent="0.2">
      <c r="A595" s="9"/>
      <c r="B595" s="9"/>
      <c r="C595" s="10" t="s">
        <v>906</v>
      </c>
      <c r="D595" s="11" t="s">
        <v>361</v>
      </c>
      <c r="E595" s="1345">
        <v>0</v>
      </c>
      <c r="F595" s="1343">
        <f>G595-E595</f>
        <v>0</v>
      </c>
      <c r="G595" s="1351" t="s">
        <v>7</v>
      </c>
      <c r="H595" s="1352">
        <v>0</v>
      </c>
      <c r="I595" s="1348">
        <v>0</v>
      </c>
      <c r="J595" s="1344">
        <v>0</v>
      </c>
    </row>
    <row r="596" spans="1:10" ht="15" x14ac:dyDescent="0.2">
      <c r="A596" s="8"/>
      <c r="B596" s="1632" t="s">
        <v>907</v>
      </c>
      <c r="C596" s="1633"/>
      <c r="D596" s="1634" t="s">
        <v>908</v>
      </c>
      <c r="E596" s="1635">
        <f>E597</f>
        <v>100000</v>
      </c>
      <c r="F596" s="1636">
        <f t="shared" ref="F596:H596" si="156">F597</f>
        <v>100000</v>
      </c>
      <c r="G596" s="1637" t="str">
        <f t="shared" si="156"/>
        <v>200 000,00</v>
      </c>
      <c r="H596" s="1637">
        <f t="shared" si="156"/>
        <v>200000</v>
      </c>
      <c r="I596" s="1639">
        <f t="shared" si="152"/>
        <v>1</v>
      </c>
      <c r="J596" s="1635">
        <f>J597</f>
        <v>0</v>
      </c>
    </row>
    <row r="597" spans="1:10" ht="56.25" x14ac:dyDescent="0.2">
      <c r="A597" s="9"/>
      <c r="B597" s="9"/>
      <c r="C597" s="10" t="s">
        <v>910</v>
      </c>
      <c r="D597" s="11" t="s">
        <v>911</v>
      </c>
      <c r="E597" s="1345">
        <v>100000</v>
      </c>
      <c r="F597" s="1343">
        <f>G597-E597</f>
        <v>100000</v>
      </c>
      <c r="G597" s="1351" t="s">
        <v>909</v>
      </c>
      <c r="H597" s="1352">
        <v>200000</v>
      </c>
      <c r="I597" s="1348">
        <f t="shared" si="152"/>
        <v>1</v>
      </c>
      <c r="J597" s="1344">
        <v>0</v>
      </c>
    </row>
    <row r="598" spans="1:10" ht="22.5" x14ac:dyDescent="0.2">
      <c r="A598" s="8"/>
      <c r="B598" s="1632" t="s">
        <v>912</v>
      </c>
      <c r="C598" s="1633"/>
      <c r="D598" s="1634" t="s">
        <v>913</v>
      </c>
      <c r="E598" s="1635">
        <f>E599</f>
        <v>10000</v>
      </c>
      <c r="F598" s="1636">
        <f t="shared" ref="F598:J598" si="157">F599</f>
        <v>-10000</v>
      </c>
      <c r="G598" s="1637" t="str">
        <f t="shared" si="157"/>
        <v>0,00</v>
      </c>
      <c r="H598" s="1637">
        <f t="shared" si="157"/>
        <v>0</v>
      </c>
      <c r="I598" s="1639">
        <v>0</v>
      </c>
      <c r="J598" s="1635">
        <f t="shared" si="157"/>
        <v>0</v>
      </c>
    </row>
    <row r="599" spans="1:10" x14ac:dyDescent="0.2">
      <c r="A599" s="9"/>
      <c r="B599" s="9"/>
      <c r="C599" s="10" t="s">
        <v>354</v>
      </c>
      <c r="D599" s="11" t="s">
        <v>355</v>
      </c>
      <c r="E599" s="1345">
        <v>10000</v>
      </c>
      <c r="F599" s="1343">
        <f>G599-E599</f>
        <v>-10000</v>
      </c>
      <c r="G599" s="1351" t="s">
        <v>7</v>
      </c>
      <c r="H599" s="1352">
        <v>0</v>
      </c>
      <c r="I599" s="1348">
        <v>0</v>
      </c>
      <c r="J599" s="1344">
        <v>0</v>
      </c>
    </row>
    <row r="600" spans="1:10" ht="15" x14ac:dyDescent="0.2">
      <c r="A600" s="8"/>
      <c r="B600" s="1632" t="s">
        <v>914</v>
      </c>
      <c r="C600" s="1633"/>
      <c r="D600" s="1634" t="s">
        <v>14</v>
      </c>
      <c r="E600" s="1635">
        <f>E602+E601+E603</f>
        <v>70950.790000000008</v>
      </c>
      <c r="F600" s="1636">
        <f t="shared" ref="F600:J600" si="158">F602+F601+F603</f>
        <v>-5145.1600000000035</v>
      </c>
      <c r="G600" s="1637">
        <f t="shared" si="158"/>
        <v>65805.63</v>
      </c>
      <c r="H600" s="1637">
        <f t="shared" si="158"/>
        <v>63976.25</v>
      </c>
      <c r="I600" s="1639">
        <f t="shared" si="152"/>
        <v>0.97220025095117235</v>
      </c>
      <c r="J600" s="1635">
        <f t="shared" si="158"/>
        <v>0</v>
      </c>
    </row>
    <row r="601" spans="1:10" x14ac:dyDescent="0.2">
      <c r="A601" s="9"/>
      <c r="B601" s="9"/>
      <c r="C601" s="10" t="s">
        <v>363</v>
      </c>
      <c r="D601" s="11" t="s">
        <v>364</v>
      </c>
      <c r="E601" s="1345">
        <v>1700</v>
      </c>
      <c r="F601" s="1343">
        <f>G601-E601</f>
        <v>0</v>
      </c>
      <c r="G601" s="1351" t="s">
        <v>758</v>
      </c>
      <c r="H601" s="1352">
        <v>1700</v>
      </c>
      <c r="I601" s="1348">
        <f t="shared" si="152"/>
        <v>1</v>
      </c>
      <c r="J601" s="1344">
        <v>0</v>
      </c>
    </row>
    <row r="602" spans="1:10" x14ac:dyDescent="0.2">
      <c r="A602" s="9"/>
      <c r="B602" s="9"/>
      <c r="C602" s="10" t="s">
        <v>351</v>
      </c>
      <c r="D602" s="11" t="s">
        <v>352</v>
      </c>
      <c r="E602" s="1345">
        <v>40696.94</v>
      </c>
      <c r="F602" s="1343">
        <f t="shared" ref="F602:F603" si="159">G602-E602</f>
        <v>-2445.1600000000035</v>
      </c>
      <c r="G602" s="1351" t="s">
        <v>915</v>
      </c>
      <c r="H602" s="1352">
        <v>37544.949999999997</v>
      </c>
      <c r="I602" s="1348">
        <f t="shared" si="152"/>
        <v>0.98152164422152377</v>
      </c>
      <c r="J602" s="1344">
        <v>0</v>
      </c>
    </row>
    <row r="603" spans="1:10" x14ac:dyDescent="0.2">
      <c r="A603" s="9"/>
      <c r="B603" s="9"/>
      <c r="C603" s="10" t="s">
        <v>354</v>
      </c>
      <c r="D603" s="11" t="s">
        <v>355</v>
      </c>
      <c r="E603" s="1345">
        <v>28553.85</v>
      </c>
      <c r="F603" s="1343">
        <f t="shared" si="159"/>
        <v>-2700</v>
      </c>
      <c r="G603" s="1351" t="s">
        <v>916</v>
      </c>
      <c r="H603" s="1352">
        <v>24731.3</v>
      </c>
      <c r="I603" s="1348">
        <f t="shared" si="152"/>
        <v>0.95658093475439832</v>
      </c>
      <c r="J603" s="1344">
        <v>0</v>
      </c>
    </row>
    <row r="604" spans="1:10" x14ac:dyDescent="0.2">
      <c r="A604" s="1640" t="s">
        <v>321</v>
      </c>
      <c r="B604" s="1640"/>
      <c r="C604" s="1640"/>
      <c r="D604" s="1641" t="s">
        <v>322</v>
      </c>
      <c r="E604" s="1642">
        <f>E605+E619</f>
        <v>492977</v>
      </c>
      <c r="F604" s="1643">
        <f t="shared" ref="F604:J604" si="160">F605+F619</f>
        <v>858557.28</v>
      </c>
      <c r="G604" s="1644">
        <f t="shared" si="160"/>
        <v>1351534.28</v>
      </c>
      <c r="H604" s="1644">
        <f t="shared" si="160"/>
        <v>1327518.31</v>
      </c>
      <c r="I604" s="1645">
        <f t="shared" si="152"/>
        <v>0.98223058759560289</v>
      </c>
      <c r="J604" s="1642">
        <f t="shared" si="160"/>
        <v>1973.39</v>
      </c>
    </row>
    <row r="605" spans="1:10" ht="15" x14ac:dyDescent="0.2">
      <c r="A605" s="8"/>
      <c r="B605" s="1632" t="s">
        <v>323</v>
      </c>
      <c r="C605" s="1633"/>
      <c r="D605" s="1634" t="s">
        <v>324</v>
      </c>
      <c r="E605" s="1635">
        <f>E606+E607+E608+E609+E610+E611+E612+E613+E614+E615+E616+E617+E618</f>
        <v>115757</v>
      </c>
      <c r="F605" s="1636">
        <f t="shared" ref="F605:J605" si="161">F606+F607+F608+F609+F610+F611+F612+F613+F614+F615+F616+F617+F618</f>
        <v>810547.54</v>
      </c>
      <c r="G605" s="1637">
        <f t="shared" si="161"/>
        <v>926304.54</v>
      </c>
      <c r="H605" s="1637">
        <f t="shared" si="161"/>
        <v>917723.33000000007</v>
      </c>
      <c r="I605" s="1639">
        <f t="shared" si="152"/>
        <v>0.99073608124602308</v>
      </c>
      <c r="J605" s="1635">
        <f t="shared" si="161"/>
        <v>1960.88</v>
      </c>
    </row>
    <row r="606" spans="1:10" x14ac:dyDescent="0.2">
      <c r="A606" s="9"/>
      <c r="B606" s="9"/>
      <c r="C606" s="10" t="s">
        <v>345</v>
      </c>
      <c r="D606" s="11" t="s">
        <v>346</v>
      </c>
      <c r="E606" s="1345">
        <v>9234</v>
      </c>
      <c r="F606" s="1343">
        <f>G606-E606</f>
        <v>-500</v>
      </c>
      <c r="G606" s="1351" t="s">
        <v>917</v>
      </c>
      <c r="H606" s="1352">
        <v>8732.0400000000009</v>
      </c>
      <c r="I606" s="1348">
        <f t="shared" si="152"/>
        <v>0.99977558964964519</v>
      </c>
      <c r="J606" s="1344">
        <v>757.57</v>
      </c>
    </row>
    <row r="607" spans="1:10" x14ac:dyDescent="0.2">
      <c r="A607" s="9"/>
      <c r="B607" s="9"/>
      <c r="C607" s="10" t="s">
        <v>348</v>
      </c>
      <c r="D607" s="11" t="s">
        <v>349</v>
      </c>
      <c r="E607" s="1345">
        <v>1323</v>
      </c>
      <c r="F607" s="1343">
        <f t="shared" ref="F607:F618" si="162">G607-E607</f>
        <v>-500</v>
      </c>
      <c r="G607" s="1351" t="s">
        <v>918</v>
      </c>
      <c r="H607" s="1352">
        <v>745.82</v>
      </c>
      <c r="I607" s="1348">
        <f t="shared" si="152"/>
        <v>0.90622114216281902</v>
      </c>
      <c r="J607" s="1344">
        <v>67.52</v>
      </c>
    </row>
    <row r="608" spans="1:10" x14ac:dyDescent="0.2">
      <c r="A608" s="9"/>
      <c r="B608" s="9"/>
      <c r="C608" s="10" t="s">
        <v>363</v>
      </c>
      <c r="D608" s="11" t="s">
        <v>364</v>
      </c>
      <c r="E608" s="1345">
        <v>54000</v>
      </c>
      <c r="F608" s="1343">
        <f t="shared" si="162"/>
        <v>1000</v>
      </c>
      <c r="G608" s="1351" t="s">
        <v>919</v>
      </c>
      <c r="H608" s="1352">
        <v>54257.54</v>
      </c>
      <c r="I608" s="1348">
        <f t="shared" si="152"/>
        <v>0.98650072727272731</v>
      </c>
      <c r="J608" s="1344">
        <v>946.46</v>
      </c>
    </row>
    <row r="609" spans="1:10" x14ac:dyDescent="0.2">
      <c r="A609" s="9"/>
      <c r="B609" s="9"/>
      <c r="C609" s="10" t="s">
        <v>351</v>
      </c>
      <c r="D609" s="11" t="s">
        <v>352</v>
      </c>
      <c r="E609" s="1345">
        <v>15000</v>
      </c>
      <c r="F609" s="1343">
        <f t="shared" si="162"/>
        <v>-100</v>
      </c>
      <c r="G609" s="1351" t="s">
        <v>920</v>
      </c>
      <c r="H609" s="1352">
        <v>14877.43</v>
      </c>
      <c r="I609" s="1348">
        <f t="shared" si="152"/>
        <v>0.99848523489932883</v>
      </c>
      <c r="J609" s="1344">
        <v>0</v>
      </c>
    </row>
    <row r="610" spans="1:10" x14ac:dyDescent="0.2">
      <c r="A610" s="9"/>
      <c r="B610" s="9"/>
      <c r="C610" s="10" t="s">
        <v>367</v>
      </c>
      <c r="D610" s="11" t="s">
        <v>368</v>
      </c>
      <c r="E610" s="1345">
        <v>19000</v>
      </c>
      <c r="F610" s="1343">
        <f t="shared" si="162"/>
        <v>-3411</v>
      </c>
      <c r="G610" s="1351" t="s">
        <v>921</v>
      </c>
      <c r="H610" s="1352">
        <v>9431.6200000000008</v>
      </c>
      <c r="I610" s="1348">
        <f t="shared" si="152"/>
        <v>0.60501764064404395</v>
      </c>
      <c r="J610" s="1344">
        <v>189.33</v>
      </c>
    </row>
    <row r="611" spans="1:10" x14ac:dyDescent="0.2">
      <c r="A611" s="9"/>
      <c r="B611" s="9"/>
      <c r="C611" s="10" t="s">
        <v>381</v>
      </c>
      <c r="D611" s="11" t="s">
        <v>382</v>
      </c>
      <c r="E611" s="1345">
        <v>0</v>
      </c>
      <c r="F611" s="1343">
        <f t="shared" si="162"/>
        <v>36411</v>
      </c>
      <c r="G611" s="1351" t="s">
        <v>922</v>
      </c>
      <c r="H611" s="1352">
        <v>36411</v>
      </c>
      <c r="I611" s="1348">
        <f t="shared" si="152"/>
        <v>1</v>
      </c>
      <c r="J611" s="1344">
        <v>0</v>
      </c>
    </row>
    <row r="612" spans="1:10" x14ac:dyDescent="0.2">
      <c r="A612" s="9"/>
      <c r="B612" s="9"/>
      <c r="C612" s="10" t="s">
        <v>472</v>
      </c>
      <c r="D612" s="11" t="s">
        <v>473</v>
      </c>
      <c r="E612" s="1345">
        <v>200</v>
      </c>
      <c r="F612" s="1343">
        <f t="shared" si="162"/>
        <v>0</v>
      </c>
      <c r="G612" s="1351" t="s">
        <v>854</v>
      </c>
      <c r="H612" s="1352">
        <v>0</v>
      </c>
      <c r="I612" s="1348">
        <f t="shared" si="152"/>
        <v>0</v>
      </c>
      <c r="J612" s="1344">
        <v>0</v>
      </c>
    </row>
    <row r="613" spans="1:10" x14ac:dyDescent="0.2">
      <c r="A613" s="9"/>
      <c r="B613" s="9"/>
      <c r="C613" s="10" t="s">
        <v>354</v>
      </c>
      <c r="D613" s="11" t="s">
        <v>355</v>
      </c>
      <c r="E613" s="1345">
        <v>14000</v>
      </c>
      <c r="F613" s="1343">
        <f t="shared" si="162"/>
        <v>100</v>
      </c>
      <c r="G613" s="1351" t="s">
        <v>923</v>
      </c>
      <c r="H613" s="1352">
        <v>13198.63</v>
      </c>
      <c r="I613" s="1348">
        <f t="shared" si="152"/>
        <v>0.93607304964539007</v>
      </c>
      <c r="J613" s="1344">
        <v>0</v>
      </c>
    </row>
    <row r="614" spans="1:10" x14ac:dyDescent="0.2">
      <c r="A614" s="9"/>
      <c r="B614" s="9"/>
      <c r="C614" s="10" t="s">
        <v>357</v>
      </c>
      <c r="D614" s="11" t="s">
        <v>358</v>
      </c>
      <c r="E614" s="1345">
        <v>3000</v>
      </c>
      <c r="F614" s="1343">
        <f t="shared" si="162"/>
        <v>-3000</v>
      </c>
      <c r="G614" s="1351" t="s">
        <v>7</v>
      </c>
      <c r="H614" s="1352">
        <v>0</v>
      </c>
      <c r="I614" s="1348">
        <v>0</v>
      </c>
      <c r="J614" s="1344">
        <v>0</v>
      </c>
    </row>
    <row r="615" spans="1:10" x14ac:dyDescent="0.2">
      <c r="A615" s="9"/>
      <c r="B615" s="9"/>
      <c r="C615" s="10" t="s">
        <v>360</v>
      </c>
      <c r="D615" s="11" t="s">
        <v>361</v>
      </c>
      <c r="E615" s="1345">
        <v>0</v>
      </c>
      <c r="F615" s="1343">
        <f t="shared" si="162"/>
        <v>242812.24</v>
      </c>
      <c r="G615" s="1351" t="s">
        <v>924</v>
      </c>
      <c r="H615" s="1352">
        <v>242367.65</v>
      </c>
      <c r="I615" s="1348">
        <f t="shared" si="152"/>
        <v>0.99816899675238779</v>
      </c>
      <c r="J615" s="1344">
        <v>0</v>
      </c>
    </row>
    <row r="616" spans="1:10" x14ac:dyDescent="0.2">
      <c r="A616" s="9"/>
      <c r="B616" s="9"/>
      <c r="C616" s="10" t="s">
        <v>925</v>
      </c>
      <c r="D616" s="11" t="s">
        <v>361</v>
      </c>
      <c r="E616" s="1345">
        <v>0</v>
      </c>
      <c r="F616" s="1343">
        <f t="shared" si="162"/>
        <v>171793</v>
      </c>
      <c r="G616" s="1351" t="s">
        <v>926</v>
      </c>
      <c r="H616" s="1352">
        <v>171793</v>
      </c>
      <c r="I616" s="1348">
        <f t="shared" si="152"/>
        <v>1</v>
      </c>
      <c r="J616" s="1344">
        <v>0</v>
      </c>
    </row>
    <row r="617" spans="1:10" x14ac:dyDescent="0.2">
      <c r="A617" s="9"/>
      <c r="B617" s="9"/>
      <c r="C617" s="10" t="s">
        <v>906</v>
      </c>
      <c r="D617" s="11" t="s">
        <v>361</v>
      </c>
      <c r="E617" s="1345">
        <v>0</v>
      </c>
      <c r="F617" s="1343">
        <f t="shared" si="162"/>
        <v>339442.3</v>
      </c>
      <c r="G617" s="1351" t="s">
        <v>927</v>
      </c>
      <c r="H617" s="1352">
        <v>339431.33</v>
      </c>
      <c r="I617" s="1348">
        <f t="shared" si="152"/>
        <v>0.99996768228355759</v>
      </c>
      <c r="J617" s="1344">
        <v>0</v>
      </c>
    </row>
    <row r="618" spans="1:10" ht="22.5" x14ac:dyDescent="0.2">
      <c r="A618" s="9"/>
      <c r="B618" s="9"/>
      <c r="C618" s="10" t="s">
        <v>395</v>
      </c>
      <c r="D618" s="11" t="s">
        <v>396</v>
      </c>
      <c r="E618" s="1345">
        <v>0</v>
      </c>
      <c r="F618" s="1343">
        <f t="shared" si="162"/>
        <v>26500</v>
      </c>
      <c r="G618" s="1351" t="s">
        <v>682</v>
      </c>
      <c r="H618" s="1352">
        <v>26477.27</v>
      </c>
      <c r="I618" s="1348">
        <f t="shared" si="152"/>
        <v>0.99914226415094343</v>
      </c>
      <c r="J618" s="1344">
        <v>0</v>
      </c>
    </row>
    <row r="619" spans="1:10" ht="15" x14ac:dyDescent="0.2">
      <c r="A619" s="8"/>
      <c r="B619" s="1632" t="s">
        <v>325</v>
      </c>
      <c r="C619" s="1633"/>
      <c r="D619" s="1634" t="s">
        <v>14</v>
      </c>
      <c r="E619" s="1635">
        <f>E620+E621+E622+E623+E624+E625</f>
        <v>377220</v>
      </c>
      <c r="F619" s="1636">
        <f t="shared" ref="F619:J619" si="163">F620+F621+F622+F623+F624+F625</f>
        <v>48009.740000000005</v>
      </c>
      <c r="G619" s="1637">
        <f t="shared" si="163"/>
        <v>425229.74</v>
      </c>
      <c r="H619" s="1637">
        <f t="shared" si="163"/>
        <v>409794.98000000004</v>
      </c>
      <c r="I619" s="1639">
        <f t="shared" si="152"/>
        <v>0.96370253877351109</v>
      </c>
      <c r="J619" s="1635">
        <f t="shared" si="163"/>
        <v>12.51</v>
      </c>
    </row>
    <row r="620" spans="1:10" ht="56.25" x14ac:dyDescent="0.2">
      <c r="A620" s="9"/>
      <c r="B620" s="9"/>
      <c r="C620" s="10" t="s">
        <v>263</v>
      </c>
      <c r="D620" s="11" t="s">
        <v>547</v>
      </c>
      <c r="E620" s="1345">
        <v>213500</v>
      </c>
      <c r="F620" s="1343">
        <f>G620-E620</f>
        <v>0</v>
      </c>
      <c r="G620" s="1351" t="s">
        <v>928</v>
      </c>
      <c r="H620" s="1352">
        <v>213494.39</v>
      </c>
      <c r="I620" s="1348">
        <f t="shared" si="152"/>
        <v>0.99997372365339587</v>
      </c>
      <c r="J620" s="1344">
        <v>0</v>
      </c>
    </row>
    <row r="621" spans="1:10" x14ac:dyDescent="0.2">
      <c r="A621" s="9"/>
      <c r="B621" s="9"/>
      <c r="C621" s="10" t="s">
        <v>345</v>
      </c>
      <c r="D621" s="11" t="s">
        <v>346</v>
      </c>
      <c r="E621" s="1345">
        <v>7500</v>
      </c>
      <c r="F621" s="1343">
        <f t="shared" ref="F621:F625" si="164">G621-E621</f>
        <v>-7000</v>
      </c>
      <c r="G621" s="1351" t="s">
        <v>255</v>
      </c>
      <c r="H621" s="1352">
        <v>215.21</v>
      </c>
      <c r="I621" s="1348">
        <f t="shared" si="152"/>
        <v>0.43042000000000002</v>
      </c>
      <c r="J621" s="1344">
        <v>0</v>
      </c>
    </row>
    <row r="622" spans="1:10" x14ac:dyDescent="0.2">
      <c r="A622" s="9"/>
      <c r="B622" s="9"/>
      <c r="C622" s="10" t="s">
        <v>363</v>
      </c>
      <c r="D622" s="11" t="s">
        <v>364</v>
      </c>
      <c r="E622" s="1345">
        <v>29920</v>
      </c>
      <c r="F622" s="1343">
        <f t="shared" si="164"/>
        <v>-3000</v>
      </c>
      <c r="G622" s="1351" t="s">
        <v>929</v>
      </c>
      <c r="H622" s="1352">
        <v>17167</v>
      </c>
      <c r="I622" s="1348">
        <f t="shared" si="152"/>
        <v>0.63770430906389297</v>
      </c>
      <c r="J622" s="1344">
        <v>0</v>
      </c>
    </row>
    <row r="623" spans="1:10" x14ac:dyDescent="0.2">
      <c r="A623" s="9"/>
      <c r="B623" s="9"/>
      <c r="C623" s="10" t="s">
        <v>351</v>
      </c>
      <c r="D623" s="11" t="s">
        <v>352</v>
      </c>
      <c r="E623" s="1345">
        <v>76300</v>
      </c>
      <c r="F623" s="1343">
        <f t="shared" si="164"/>
        <v>12876.64</v>
      </c>
      <c r="G623" s="1351" t="s">
        <v>930</v>
      </c>
      <c r="H623" s="1352">
        <v>88505.11</v>
      </c>
      <c r="I623" s="1348">
        <f t="shared" si="152"/>
        <v>0.9924696647014285</v>
      </c>
      <c r="J623" s="1344">
        <v>12.51</v>
      </c>
    </row>
    <row r="624" spans="1:10" x14ac:dyDescent="0.2">
      <c r="A624" s="9"/>
      <c r="B624" s="9"/>
      <c r="C624" s="10" t="s">
        <v>354</v>
      </c>
      <c r="D624" s="11" t="s">
        <v>355</v>
      </c>
      <c r="E624" s="1345">
        <v>37000</v>
      </c>
      <c r="F624" s="1343">
        <f t="shared" si="164"/>
        <v>49697.990000000005</v>
      </c>
      <c r="G624" s="1351" t="s">
        <v>931</v>
      </c>
      <c r="H624" s="1352">
        <v>83820.77</v>
      </c>
      <c r="I624" s="1348">
        <f t="shared" si="152"/>
        <v>0.96681330213076455</v>
      </c>
      <c r="J624" s="1344">
        <v>0</v>
      </c>
    </row>
    <row r="625" spans="1:11" ht="13.5" thickBot="1" x14ac:dyDescent="0.25">
      <c r="A625" s="1346"/>
      <c r="B625" s="1346"/>
      <c r="C625" s="1482" t="s">
        <v>357</v>
      </c>
      <c r="D625" s="1483" t="s">
        <v>358</v>
      </c>
      <c r="E625" s="1484">
        <v>13000</v>
      </c>
      <c r="F625" s="1485">
        <f t="shared" si="164"/>
        <v>-4564.8899999999994</v>
      </c>
      <c r="G625" s="1486" t="s">
        <v>932</v>
      </c>
      <c r="H625" s="1487">
        <v>6592.5</v>
      </c>
      <c r="I625" s="1488">
        <f t="shared" si="152"/>
        <v>0.781554715943242</v>
      </c>
      <c r="J625" s="1489">
        <v>0</v>
      </c>
    </row>
    <row r="626" spans="1:11" ht="17.100000000000001" customHeight="1" thickBot="1" x14ac:dyDescent="0.25">
      <c r="A626" s="1844" t="s">
        <v>328</v>
      </c>
      <c r="B626" s="1844"/>
      <c r="C626" s="1844"/>
      <c r="D626" s="1844"/>
      <c r="E626" s="1490">
        <f>E604+E569+E516+E460+E442+E419+E367+E343+E186+E181+E178+E146+E141+E71+E64+E47+E38+E26+E19+E4</f>
        <v>68385940.579999998</v>
      </c>
      <c r="F626" s="1491">
        <f t="shared" ref="F626:J626" si="165">F604+F569+F516+F460+F442+F419+F367+F343+F186+F181+F178+F146+F141+F71+F64+F47+F38+F26+F19+F4</f>
        <v>9504334.5800000001</v>
      </c>
      <c r="G626" s="1492">
        <f t="shared" si="165"/>
        <v>77890275.159999996</v>
      </c>
      <c r="H626" s="1492">
        <f t="shared" si="165"/>
        <v>74519461.109999999</v>
      </c>
      <c r="I626" s="1493">
        <f t="shared" si="152"/>
        <v>0.95672355704128964</v>
      </c>
      <c r="J626" s="1490">
        <f t="shared" si="165"/>
        <v>2479510.0900000003</v>
      </c>
    </row>
    <row r="627" spans="1:11" ht="13.5" thickBot="1" x14ac:dyDescent="0.25">
      <c r="D627" s="1353" t="s">
        <v>1252</v>
      </c>
      <c r="E627" s="1359"/>
      <c r="F627" s="1359"/>
      <c r="G627" s="1359"/>
      <c r="H627" s="1359"/>
      <c r="I627" s="1359"/>
      <c r="J627" s="1359"/>
    </row>
    <row r="628" spans="1:11" ht="24.75" customHeight="1" thickBot="1" x14ac:dyDescent="0.25">
      <c r="C628" s="1461" t="s">
        <v>1074</v>
      </c>
      <c r="D628" s="1461" t="s">
        <v>1491</v>
      </c>
      <c r="E628" s="1462">
        <f>E629+E633+E634+E635+E636</f>
        <v>64033773.610000007</v>
      </c>
      <c r="F628" s="1463">
        <f t="shared" ref="F628:J628" si="166">F629+F633+F634+F635+F636</f>
        <v>9049182.3599999994</v>
      </c>
      <c r="G628" s="1464">
        <f t="shared" si="166"/>
        <v>73082955.969999999</v>
      </c>
      <c r="H628" s="1465">
        <f t="shared" si="166"/>
        <v>69886026.140000001</v>
      </c>
      <c r="I628" s="1466">
        <f>H628/G628</f>
        <v>0.95625615045849655</v>
      </c>
      <c r="J628" s="1467">
        <f t="shared" si="166"/>
        <v>2479510.09</v>
      </c>
    </row>
    <row r="629" spans="1:11" x14ac:dyDescent="0.2">
      <c r="C629" s="1378" t="s">
        <v>1492</v>
      </c>
      <c r="D629" s="1455" t="s">
        <v>1493</v>
      </c>
      <c r="E629" s="1456">
        <f>E631+E632</f>
        <v>35536030.480000004</v>
      </c>
      <c r="F629" s="1457">
        <f t="shared" ref="F629:J629" si="167">F631+F632</f>
        <v>3864433.9800000004</v>
      </c>
      <c r="G629" s="1458">
        <f t="shared" si="167"/>
        <v>39400464.460000001</v>
      </c>
      <c r="H629" s="1459">
        <f>H631+H632</f>
        <v>37854480.269999996</v>
      </c>
      <c r="I629" s="1460">
        <f>H629/G629</f>
        <v>0.96076228513576245</v>
      </c>
      <c r="J629" s="1456">
        <f t="shared" si="167"/>
        <v>2390735.5699999998</v>
      </c>
    </row>
    <row r="630" spans="1:11" x14ac:dyDescent="0.2">
      <c r="C630" s="1379"/>
      <c r="D630" s="1384" t="s">
        <v>1494</v>
      </c>
      <c r="E630" s="1372"/>
      <c r="F630" s="1372"/>
      <c r="G630" s="1372"/>
      <c r="H630" s="1368"/>
      <c r="I630" s="1373"/>
      <c r="J630" s="1374"/>
    </row>
    <row r="631" spans="1:11" x14ac:dyDescent="0.2">
      <c r="C631" s="1380"/>
      <c r="D631" s="1360" t="s">
        <v>1495</v>
      </c>
      <c r="E631" s="1362">
        <f>E622+E621+E608+E607+E606+E601+E579+E578+E577+E572+E563+E562+E561+E549+E548+E547+E539+E528+E527+E526+E525+E519+E513+E512+E511+E501+E500+E499+E498+E495+E494+E493+E484+E483+E482+E481+E469+E468+E467+E466+E465+E448+E447+E446+E445+E408+E407+E393+E391+E390+E389+E388+E355+E354+E353+E347+E309+E308+E307+E306+E295+E294+E293+E292+E282+E281+E280+E279+E278+E271+E259+E258+E257+E256+E255+E233+E232+E231+E230+E229+E216+E215+E214+E213+E212+E194+E193+E192+E191+E190+E154+E153+E152+E145+E144+E143+E139+E125+E124+E123+E122+E121+E116+E98+E94+E91+E90+E87+E75+E74+E73+E66+E22+E21+E14+E13+E12</f>
        <v>22381675.280000005</v>
      </c>
      <c r="F631" s="1370">
        <f t="shared" ref="F631:J631" si="168">F622+F621+F608+F607+F606+F601+F579+F578+F577+F572+F563+F562+F561+F549+F548+F547+F539+F528+F527+F526+F525+F519+F513+F512+F511+F501+F500+F499+F498+F495+F494+F493+F484+F483+F482+F481+F469+F468+F467+F466+F465+F448+F447+F446+F445+F408+F407+F393+F391+F390+F389+F388+F355+F354+F353+F347+F309+F308+F307+F306+F295+F294+F293+F292+F282+F281+F280+F279+F278+F271+F259+F258+F257+F256+F255+F233+F232+F231+F230+F229+F216+F215+F214+F213+F212+F194+F193+F192+F191+F190+F154+F153+F152+F145+F144+F143+F139+F125+F124+F123+F122+F121+F116+F98+F94+F91+F90+F87+F75+F74+F73+F66+F22+F21+F14+F13+F12</f>
        <v>265431.30999999982</v>
      </c>
      <c r="G631" s="1442">
        <f t="shared" si="168"/>
        <v>22647106.59</v>
      </c>
      <c r="H631" s="1371">
        <f t="shared" si="168"/>
        <v>22309755.479999997</v>
      </c>
      <c r="I631" s="1440">
        <f t="shared" ref="I631:I643" si="169">H631/G631</f>
        <v>0.98510400837920009</v>
      </c>
      <c r="J631" s="1362">
        <f t="shared" si="168"/>
        <v>2105650.77</v>
      </c>
    </row>
    <row r="632" spans="1:11" x14ac:dyDescent="0.2">
      <c r="C632" s="1380"/>
      <c r="D632" s="1360" t="s">
        <v>1496</v>
      </c>
      <c r="E632" s="1362">
        <f>E625+E624+E623+E614+E613+E612+E611+E610+E609+E603+E602+E599+E590+E589+E584+E583+E582+E581+E580+E574+E573+E567+E566+E565+E564+E559+E556+E555+E554+E551+E550+E542+E541+E540+E537+E535+E534+E533+E532+E531+E530+E529+E521+E520+E515+E514+E508+E506+E504+E503+E502+E491+E490+E489+E488+E487+E486+E485+E479+E478+E476+E475+E474+E473+E472+E471+E470+E463+E462+E454+E453+E452+E451+E450+E449+E418+E417+E409+E404+E403+E402+E401+E400+E399+E398+E397+E396+E395+E394+E392+E384+E383+E381+E376+E375+E374+E372+E371+E369+E366+E365+E362+E361+E360+E359+E358+E357+E356+E349+E348+E338+E335+E330+E317+E316+E315+E314+E313+E312+E311+E310+E302+E301+E300+E299+E298+E297+E296+E288+E287+E286+E285+E284+E283+E276+E275+E273+E272+E269+E268+E267+E266+E265+E264+E263+E262+E261+E260+E248+E247+E246+E245+E244+E243+E242+E241+E240+E239+E238+E237+E236+E235+E234+E224+E223+E222+E221+E220+E219+E218+E217+E206+E205+E204+E203+E202+E201+E200+E199+E198+E197+E196+E195+E185+E183+E177+E176+E175+E170+E169+E168+E167+E162+E161+E160+E159+E158+E157+E156+E155+E140+E136+E135+E134+E133+E132+E131+E130+E129+E128+E127+E126+E118+E117+E112+E111+E110+E109+E108+E107+E106+E105+E104+E103+E102+E101+E100+E99+E97+E84+E83+E82+E81+E78+E77+E76+E70+E69+E67+E62+E61+E60+E59+E58+E57+E54+E53+E52+E51+E44+E43+E40+E36+E35+E34+E33+E29+E25+E24+E23+E17+E16+E15+E10</f>
        <v>13154355.200000001</v>
      </c>
      <c r="F632" s="1370">
        <f t="shared" ref="F632:J632" si="170">F625+F624+F623+F614+F613+F612+F611+F610+F609+F603+F602+F599+F590+F589+F584+F583+F582+F581+F580+F574+F573+F567+F566+F565+F564+F559+F556+F555+F554+F551+F550+F542+F541+F540+F537+F535+F534+F533+F532+F531+F530+F529+F521+F520+F515+F514+F508+F506+F504+F503+F502+F491+F490+F489+F488+F487+F486+F485+F479+F478+F476+F475+F474+F473+F472+F471+F470+F463+F462+F454+F453+F452+F451+F450+F449+F418+F417+F409+F404+F403+F402+F401+F400+F399+F398+F397+F396+F395+F394+F392+F384+F383+F381+F376+F375+F374+F372+F371+F369+F366+F365+F362+F361+F360+F359+F358+F357+F356+F349+F348+F338+F335+F330+F317+F316+F315+F314+F313+F312+F311+F310+F302+F301+F300+F299+F298+F297+F296+F288+F287+F286+F285+F284+F283+F276+F275+F273+F272+F269+F268+F267+F266+F265+F264+F263+F262+F261+F260+F248+F247+F246+F245+F244+F243+F242+F241+F240+F239+F238+F237+F236+F235+F234+F224+F223+F222+F221+F220+F219+F218+F217+F206+F205+F204+F203+F202+F201+F200+F199+F198+F197+F196+F195+F185+F183+F177+F176+F175+F170+F169+F168+F167+F162+F161+F160+F159+F158+F157+F156+F155+F140+F136+F135+F134+F133+F132+F131+F130+F129+F128+F127+F126+F118+F117+F112+F111+F110+F109+F108+F107+F106+F105+F104+F103+F102+F101+F100+F99+F97+F84+F83+F82+F81+F78+F77+F76+F70+F69+F67+F62+F61+F60+F59+F58+F57+F54+F53+F52+F51+F44+F43+F40+F36+F35+F34+F33+F29+F25+F24+F23+F17+F16+F15+F10</f>
        <v>3599002.6700000004</v>
      </c>
      <c r="G632" s="1442">
        <f t="shared" si="170"/>
        <v>16753357.869999999</v>
      </c>
      <c r="H632" s="1371">
        <f t="shared" si="170"/>
        <v>15544724.789999995</v>
      </c>
      <c r="I632" s="1440">
        <f t="shared" si="169"/>
        <v>0.92785726363762067</v>
      </c>
      <c r="J632" s="1362">
        <f t="shared" si="170"/>
        <v>285084.79999999999</v>
      </c>
    </row>
    <row r="633" spans="1:11" x14ac:dyDescent="0.2">
      <c r="C633" s="1378" t="s">
        <v>1497</v>
      </c>
      <c r="D633" s="1363" t="s">
        <v>1498</v>
      </c>
      <c r="E633" s="1361">
        <f>E620+E597+E592+E588+E576+E571+E546+E524+E518+E423+E413+E364+E352+E351+E321+E304+E290+E253+E252+E251+E227+E226+E210+E188+E172+E150+E49+E28+E6</f>
        <v>6726699.1199999992</v>
      </c>
      <c r="F633" s="1365">
        <f t="shared" ref="F633:J633" si="171">F620+F597+F592+F588+F576+F571+F546+F524+F518+F423+F413+F364+F352+F351+F321+F304+F290+F253+F252+F251+F227+F226+F210+F188+F172+F150+F49+F28+F6</f>
        <v>212491.77999999997</v>
      </c>
      <c r="G633" s="1441">
        <f t="shared" si="171"/>
        <v>6939190.9000000004</v>
      </c>
      <c r="H633" s="1367">
        <f t="shared" si="171"/>
        <v>6703518.5500000007</v>
      </c>
      <c r="I633" s="1444">
        <f t="shared" si="169"/>
        <v>0.96603748860692107</v>
      </c>
      <c r="J633" s="1361">
        <f t="shared" si="171"/>
        <v>0</v>
      </c>
    </row>
    <row r="634" spans="1:11" x14ac:dyDescent="0.2">
      <c r="C634" s="1378" t="s">
        <v>1499</v>
      </c>
      <c r="D634" s="1363" t="s">
        <v>1500</v>
      </c>
      <c r="E634" s="1361">
        <f>E510+E497+E480+E464+E459+E457+E456+E444+E411+E415+E387+E385+E380+E305+E291+E254+E228+E211+E189+E174+E151+E138+E120+E86+E80+E378</f>
        <v>21405508.239999998</v>
      </c>
      <c r="F634" s="1365">
        <f t="shared" ref="F634:G634" si="172">F510+F497+F480+F464+F459+F457+F456+F444+F411+F415+F387+F385+F380+F305+F291+F254+F228+F211+F189+F174+F151+F138+F120+F86+F80+F378</f>
        <v>3574327.86</v>
      </c>
      <c r="G634" s="1441">
        <f t="shared" si="172"/>
        <v>24979836.099999998</v>
      </c>
      <c r="H634" s="1367">
        <f>H510+H497+H480+H464+H459+H457+H456+H444+H411+H415+H387+H385+H380+H305+H291+H254+H228+H211+H189+H174+H151+H138+H120+H86+H80+H378</f>
        <v>24559084.609999996</v>
      </c>
      <c r="I634" s="1444">
        <f t="shared" si="169"/>
        <v>0.98315635505710941</v>
      </c>
      <c r="J634" s="1361">
        <f t="shared" ref="J634" si="173">J510+J497+J480+J464+J459+J457+J456+J444+J411+J415+J387+J385+J380+J305+J291+J254+J228+J211+J189+J174+J151+J138+J120+J86+J80+J378</f>
        <v>50167.040000000001</v>
      </c>
      <c r="K634" s="1355"/>
    </row>
    <row r="635" spans="1:11" x14ac:dyDescent="0.2">
      <c r="C635" s="1378" t="s">
        <v>1501</v>
      </c>
      <c r="D635" s="1363" t="s">
        <v>1502</v>
      </c>
      <c r="E635" s="1364">
        <f>E180</f>
        <v>326000</v>
      </c>
      <c r="F635" s="1366">
        <f t="shared" ref="F635:J635" si="174">F180</f>
        <v>0</v>
      </c>
      <c r="G635" s="1443" t="str">
        <f t="shared" si="174"/>
        <v>326 000,00</v>
      </c>
      <c r="H635" s="1369">
        <f t="shared" si="174"/>
        <v>263972.7</v>
      </c>
      <c r="I635" s="1444">
        <f t="shared" si="169"/>
        <v>0.80973220858895711</v>
      </c>
      <c r="J635" s="1364">
        <f t="shared" si="174"/>
        <v>24926.080000000002</v>
      </c>
    </row>
    <row r="636" spans="1:11" ht="33.75" x14ac:dyDescent="0.2">
      <c r="C636" s="1378" t="s">
        <v>1503</v>
      </c>
      <c r="D636" s="1468" t="s">
        <v>1507</v>
      </c>
      <c r="E636" s="1469">
        <f>E440+E439+E438+E437+E436+E435+E434+E433+E432+E431+E430+E429+E428+E427+E426+E425+E424+E340+E339+E337+E336+E334+E333+E332+E331+E329+E328+E327+E326+E325+E324+E323+E322+E320+E319+E88+E89+E92+E93+E95+E96+E55+E56</f>
        <v>39535.769999999997</v>
      </c>
      <c r="F636" s="1470">
        <f t="shared" ref="F636:J636" si="175">F440+F439+F438+F437+F436+F435+F434+F433+F432+F431+F430+F429+F428+F427+F426+F425+F424+F340+F339+F337+F336+F334+F333+F332+F331+F329+F328+F327+F326+F325+F324+F323+F322+F320+F319+F88+F89+F92+F93+F95+F96+F55+F56</f>
        <v>1397928.74</v>
      </c>
      <c r="G636" s="1471">
        <f t="shared" si="175"/>
        <v>1437464.51</v>
      </c>
      <c r="H636" s="1472">
        <f t="shared" si="175"/>
        <v>504970.01</v>
      </c>
      <c r="I636" s="1473">
        <f t="shared" si="169"/>
        <v>0.3512921581625692</v>
      </c>
      <c r="J636" s="1469">
        <f t="shared" si="175"/>
        <v>13681.4</v>
      </c>
    </row>
    <row r="637" spans="1:11" x14ac:dyDescent="0.2">
      <c r="C637" s="1378"/>
      <c r="D637" s="1766" t="s">
        <v>1252</v>
      </c>
      <c r="E637" s="1761"/>
      <c r="F637" s="1762"/>
      <c r="G637" s="1763"/>
      <c r="H637" s="1764"/>
      <c r="I637" s="1765"/>
      <c r="J637" s="1761"/>
    </row>
    <row r="638" spans="1:11" ht="13.5" thickBot="1" x14ac:dyDescent="0.25">
      <c r="C638" s="1378"/>
      <c r="D638" s="1360" t="s">
        <v>1495</v>
      </c>
      <c r="E638" s="1767">
        <f>E432+E430+E429+E428+E427+E426+E425+E329+E328+E327+E326+E325+E324+E96+E95+E93+E92+E89+E88</f>
        <v>10425.200000000001</v>
      </c>
      <c r="F638" s="1767">
        <f t="shared" ref="F638:J638" si="176">F432+F430+F429+F428+F427+F426+F425+F329+F328+F327+F326+F325+F324+F96+F95+F93+F92+F89+F88</f>
        <v>286110.34999999998</v>
      </c>
      <c r="G638" s="1767">
        <f t="shared" si="176"/>
        <v>296535.55</v>
      </c>
      <c r="H638" s="1767">
        <f t="shared" si="176"/>
        <v>188302.44999999998</v>
      </c>
      <c r="I638" s="1768">
        <f>H638/G638</f>
        <v>0.63500801168696297</v>
      </c>
      <c r="J638" s="1767">
        <f t="shared" si="176"/>
        <v>9409.4</v>
      </c>
    </row>
    <row r="639" spans="1:11" ht="21" customHeight="1" thickBot="1" x14ac:dyDescent="0.25">
      <c r="C639" s="1461" t="s">
        <v>1061</v>
      </c>
      <c r="D639" s="1461" t="s">
        <v>1504</v>
      </c>
      <c r="E639" s="1478">
        <f>E641+E642+E643</f>
        <v>4352166.97</v>
      </c>
      <c r="F639" s="1479">
        <f t="shared" ref="F639:J639" si="177">F641+F642+F643</f>
        <v>455152.22</v>
      </c>
      <c r="G639" s="1480">
        <f t="shared" si="177"/>
        <v>4807319.1899999995</v>
      </c>
      <c r="H639" s="1481">
        <f t="shared" si="177"/>
        <v>4633434.9700000007</v>
      </c>
      <c r="I639" s="1466">
        <f t="shared" si="169"/>
        <v>0.96382927508501914</v>
      </c>
      <c r="J639" s="1478">
        <f t="shared" si="177"/>
        <v>0</v>
      </c>
    </row>
    <row r="640" spans="1:11" x14ac:dyDescent="0.2">
      <c r="C640" s="1474"/>
      <c r="D640" s="1475" t="s">
        <v>1252</v>
      </c>
      <c r="E640" s="1476"/>
      <c r="F640" s="1476"/>
      <c r="G640" s="1476"/>
      <c r="H640" s="1476"/>
      <c r="I640" s="1477"/>
      <c r="J640" s="1476"/>
    </row>
    <row r="641" spans="3:11" ht="22.5" x14ac:dyDescent="0.2">
      <c r="C641" s="1381" t="s">
        <v>1492</v>
      </c>
      <c r="D641" s="1375" t="s">
        <v>1505</v>
      </c>
      <c r="E641" s="1358">
        <f>E552+E544+E522+E421+E345+E165+E31</f>
        <v>182022.59</v>
      </c>
      <c r="F641" s="1376">
        <f t="shared" ref="F641:J641" si="178">F552+F544+F522+F421+F345+F165+F31</f>
        <v>203877.41</v>
      </c>
      <c r="G641" s="1377">
        <f t="shared" si="178"/>
        <v>385900</v>
      </c>
      <c r="H641" s="1377">
        <f t="shared" si="178"/>
        <v>322780.63</v>
      </c>
      <c r="I641" s="1440">
        <f t="shared" si="169"/>
        <v>0.83643594195387405</v>
      </c>
      <c r="J641" s="1358">
        <f t="shared" si="178"/>
        <v>0</v>
      </c>
    </row>
    <row r="642" spans="3:11" ht="33.75" x14ac:dyDescent="0.2">
      <c r="C642" s="1383" t="s">
        <v>1497</v>
      </c>
      <c r="D642" s="1375" t="s">
        <v>1507</v>
      </c>
      <c r="E642" s="1358">
        <f>E617+E616+E595+E594+E342+E341</f>
        <v>0</v>
      </c>
      <c r="F642" s="1376">
        <f t="shared" ref="F642:J642" si="179">F617+F616+F595+F594+F342+F341</f>
        <v>522635.3</v>
      </c>
      <c r="G642" s="1377">
        <f t="shared" si="179"/>
        <v>522635.3</v>
      </c>
      <c r="H642" s="1377">
        <f t="shared" si="179"/>
        <v>511224.33</v>
      </c>
      <c r="I642" s="1440">
        <f t="shared" si="169"/>
        <v>0.97816647669990919</v>
      </c>
      <c r="J642" s="1358">
        <f t="shared" si="179"/>
        <v>0</v>
      </c>
      <c r="K642" s="1354"/>
    </row>
    <row r="643" spans="3:11" x14ac:dyDescent="0.2">
      <c r="C643" s="1382" t="s">
        <v>1499</v>
      </c>
      <c r="D643" s="1375" t="s">
        <v>1506</v>
      </c>
      <c r="E643" s="1358">
        <f>E618+E615+E593+E586+E585+E568+E557+E441+E405+E249+E208+E207+E164+E163+E148+E114+E113+E63+E46+E45+E41+E37+E18+E8</f>
        <v>4170144.38</v>
      </c>
      <c r="F643" s="1376">
        <f t="shared" ref="F643:J643" si="180">F618+F615+F593+F586+F585+F568+F557+F441+F405+F249+F208+F207+F164+F163+F148+F114+F113+F63+F46+F45+F41+F37+F18+F8</f>
        <v>-271360.49</v>
      </c>
      <c r="G643" s="1377">
        <f t="shared" si="180"/>
        <v>3898783.8899999997</v>
      </c>
      <c r="H643" s="1377">
        <f t="shared" si="180"/>
        <v>3799430.0100000002</v>
      </c>
      <c r="I643" s="1440">
        <f t="shared" si="169"/>
        <v>0.97451669987279044</v>
      </c>
      <c r="J643" s="1358">
        <f t="shared" si="180"/>
        <v>0</v>
      </c>
      <c r="K643" s="1354"/>
    </row>
    <row r="644" spans="3:11" x14ac:dyDescent="0.2">
      <c r="C644" s="1357"/>
      <c r="D644" s="1356"/>
      <c r="E644" s="1356"/>
      <c r="F644" s="1356"/>
      <c r="G644" s="1356"/>
      <c r="H644" s="1356"/>
      <c r="I644" s="1356"/>
      <c r="J644" s="1356"/>
      <c r="K644" s="1354"/>
    </row>
    <row r="645" spans="3:11" x14ac:dyDescent="0.2">
      <c r="C645" s="1357"/>
      <c r="D645" s="1580"/>
      <c r="E645" s="1356"/>
      <c r="F645" s="1356"/>
      <c r="G645" s="1356"/>
      <c r="H645" s="1356"/>
      <c r="I645" s="1356"/>
      <c r="J645" s="1356"/>
      <c r="K645" s="1354"/>
    </row>
    <row r="646" spans="3:11" x14ac:dyDescent="0.2">
      <c r="C646" s="1357"/>
      <c r="D646" s="1356"/>
      <c r="E646" s="1356"/>
      <c r="F646" s="1356"/>
      <c r="G646" s="1356"/>
      <c r="H646" s="1356"/>
      <c r="I646" s="1356"/>
      <c r="J646" s="1356"/>
      <c r="K646" s="1354"/>
    </row>
    <row r="647" spans="3:11" x14ac:dyDescent="0.2">
      <c r="C647" s="1357"/>
      <c r="D647" s="1356"/>
      <c r="E647" s="1356"/>
      <c r="F647" s="1356"/>
      <c r="G647" s="1356"/>
      <c r="H647" s="1356"/>
      <c r="I647" s="1356"/>
      <c r="J647" s="1356"/>
      <c r="K647" s="1354"/>
    </row>
    <row r="648" spans="3:11" x14ac:dyDescent="0.2">
      <c r="C648" s="1357"/>
      <c r="D648" s="1356"/>
      <c r="E648" s="1356"/>
      <c r="F648" s="1356"/>
      <c r="G648" s="1356"/>
      <c r="H648" s="1356"/>
      <c r="I648" s="1356"/>
      <c r="J648" s="1356"/>
      <c r="K648" s="1354"/>
    </row>
    <row r="649" spans="3:11" x14ac:dyDescent="0.2">
      <c r="D649" s="1354"/>
      <c r="E649" s="1354"/>
      <c r="F649" s="1354"/>
      <c r="G649" s="1354"/>
      <c r="H649" s="1354"/>
      <c r="I649" s="1354"/>
      <c r="J649" s="1354"/>
      <c r="K649" s="1354"/>
    </row>
    <row r="650" spans="3:11" x14ac:dyDescent="0.2">
      <c r="D650" s="1354"/>
      <c r="E650" s="1354"/>
      <c r="F650" s="1354"/>
      <c r="G650" s="1354"/>
      <c r="H650" s="1354"/>
      <c r="I650" s="1354"/>
      <c r="J650" s="1354"/>
      <c r="K650" s="1354"/>
    </row>
  </sheetData>
  <mergeCells count="3">
    <mergeCell ref="A1:G1"/>
    <mergeCell ref="A626:D626"/>
    <mergeCell ref="A2:J2"/>
  </mergeCells>
  <pageMargins left="0.74803149606299213" right="0" top="0.78740157480314965" bottom="0.39370078740157483" header="0.31496062992125984" footer="0.11811023622047245"/>
  <pageSetup paperSize="9" orientation="landscape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opLeftCell="A16" workbookViewId="0">
      <selection activeCell="D1" sqref="D1:G1"/>
    </sheetView>
  </sheetViews>
  <sheetFormatPr defaultRowHeight="11.25" x14ac:dyDescent="0.2"/>
  <cols>
    <col min="1" max="1" width="4.7109375" style="74" customWidth="1"/>
    <col min="2" max="2" width="9.140625" style="74"/>
    <col min="3" max="3" width="49.7109375" style="74" customWidth="1"/>
    <col min="4" max="4" width="15" style="74" customWidth="1"/>
    <col min="5" max="5" width="14.42578125" style="74" customWidth="1"/>
    <col min="6" max="6" width="15" style="74" customWidth="1"/>
    <col min="7" max="7" width="14.28515625" style="74" customWidth="1"/>
    <col min="8" max="16384" width="9.140625" style="74"/>
  </cols>
  <sheetData>
    <row r="1" spans="1:7" ht="12.75" x14ac:dyDescent="0.2">
      <c r="A1" s="356"/>
      <c r="B1" s="356"/>
      <c r="C1" s="356"/>
      <c r="D1" s="1847" t="s">
        <v>1431</v>
      </c>
      <c r="E1" s="1847"/>
      <c r="F1" s="1847"/>
      <c r="G1" s="1847"/>
    </row>
    <row r="2" spans="1:7" ht="12.75" x14ac:dyDescent="0.2">
      <c r="A2" s="356"/>
      <c r="B2" s="356"/>
      <c r="C2" s="356"/>
      <c r="D2" s="1858"/>
      <c r="E2" s="1858"/>
      <c r="F2" s="1858"/>
    </row>
    <row r="3" spans="1:7" ht="12.75" x14ac:dyDescent="0.2">
      <c r="A3" s="356"/>
      <c r="B3" s="356"/>
      <c r="C3" s="356"/>
      <c r="D3" s="358"/>
      <c r="E3" s="358"/>
      <c r="F3" s="357"/>
    </row>
    <row r="4" spans="1:7" ht="12.75" x14ac:dyDescent="0.2">
      <c r="A4" s="356"/>
      <c r="B4" s="356"/>
      <c r="C4" s="356"/>
      <c r="D4" s="359"/>
      <c r="E4" s="359"/>
      <c r="F4" s="357"/>
    </row>
    <row r="5" spans="1:7" ht="15.75" x14ac:dyDescent="0.2">
      <c r="A5" s="1850" t="s">
        <v>1432</v>
      </c>
      <c r="B5" s="1850"/>
      <c r="C5" s="1850"/>
      <c r="D5" s="1850"/>
      <c r="E5" s="1850"/>
      <c r="F5" s="1850"/>
      <c r="G5" s="1850"/>
    </row>
    <row r="6" spans="1:7" ht="15.75" customHeight="1" x14ac:dyDescent="0.25">
      <c r="A6" s="1849" t="s">
        <v>1118</v>
      </c>
      <c r="B6" s="1849"/>
      <c r="C6" s="1849"/>
      <c r="D6" s="1849"/>
      <c r="E6" s="1849"/>
      <c r="F6" s="1849"/>
      <c r="G6" s="1849"/>
    </row>
    <row r="7" spans="1:7" ht="15.75" x14ac:dyDescent="0.25">
      <c r="A7" s="1848" t="s">
        <v>1119</v>
      </c>
      <c r="B7" s="1848"/>
      <c r="C7" s="1848"/>
      <c r="D7" s="1848"/>
      <c r="E7" s="1848"/>
      <c r="F7" s="1848"/>
      <c r="G7" s="1848"/>
    </row>
    <row r="8" spans="1:7" ht="12.75" x14ac:dyDescent="0.2">
      <c r="A8" s="356"/>
      <c r="B8" s="356"/>
      <c r="C8" s="356"/>
      <c r="D8" s="356"/>
      <c r="E8" s="356"/>
      <c r="F8" s="356"/>
    </row>
    <row r="9" spans="1:7" ht="12.75" x14ac:dyDescent="0.2">
      <c r="A9" s="356"/>
      <c r="B9" s="356"/>
      <c r="C9" s="356"/>
      <c r="D9" s="356"/>
      <c r="E9" s="356"/>
      <c r="F9" s="356"/>
    </row>
    <row r="10" spans="1:7" ht="26.25" customHeight="1" x14ac:dyDescent="0.2">
      <c r="A10" s="1854" t="s">
        <v>933</v>
      </c>
      <c r="B10" s="1854" t="s">
        <v>1056</v>
      </c>
      <c r="C10" s="1855" t="s">
        <v>1120</v>
      </c>
      <c r="D10" s="1853" t="s">
        <v>1429</v>
      </c>
      <c r="E10" s="1853"/>
      <c r="F10" s="1853" t="s">
        <v>1428</v>
      </c>
      <c r="G10" s="1853"/>
    </row>
    <row r="11" spans="1:7" ht="15.75" customHeight="1" thickBot="1" x14ac:dyDescent="0.25">
      <c r="A11" s="1854"/>
      <c r="B11" s="1854"/>
      <c r="C11" s="1856"/>
      <c r="D11" s="1851" t="s">
        <v>1349</v>
      </c>
      <c r="E11" s="1851" t="s">
        <v>1430</v>
      </c>
      <c r="F11" s="1851" t="s">
        <v>1349</v>
      </c>
      <c r="G11" s="1851" t="s">
        <v>1430</v>
      </c>
    </row>
    <row r="12" spans="1:7" ht="15.75" customHeight="1" thickBot="1" x14ac:dyDescent="0.25">
      <c r="A12" s="1854"/>
      <c r="B12" s="1854"/>
      <c r="C12" s="1856"/>
      <c r="D12" s="1852"/>
      <c r="E12" s="1852"/>
      <c r="F12" s="1852"/>
      <c r="G12" s="1852"/>
    </row>
    <row r="13" spans="1:7" ht="17.25" customHeight="1" x14ac:dyDescent="0.2">
      <c r="A13" s="1854"/>
      <c r="B13" s="1854"/>
      <c r="C13" s="1857"/>
      <c r="D13" s="1852"/>
      <c r="E13" s="1852"/>
      <c r="F13" s="1852"/>
      <c r="G13" s="1852"/>
    </row>
    <row r="14" spans="1:7" ht="28.5" x14ac:dyDescent="0.2">
      <c r="A14" s="1053" t="s">
        <v>1074</v>
      </c>
      <c r="B14" s="1054">
        <v>992</v>
      </c>
      <c r="C14" s="1055" t="s">
        <v>1121</v>
      </c>
      <c r="D14" s="1056"/>
      <c r="E14" s="1056">
        <v>419800</v>
      </c>
      <c r="F14" s="1056"/>
      <c r="G14" s="1056">
        <v>419800</v>
      </c>
    </row>
    <row r="15" spans="1:7" ht="28.5" x14ac:dyDescent="0.2">
      <c r="A15" s="1057" t="s">
        <v>1061</v>
      </c>
      <c r="B15" s="1058">
        <v>992</v>
      </c>
      <c r="C15" s="1055" t="s">
        <v>1121</v>
      </c>
      <c r="D15" s="1056"/>
      <c r="E15" s="1056">
        <v>125000</v>
      </c>
      <c r="F15" s="1056"/>
      <c r="G15" s="1056">
        <v>125000</v>
      </c>
    </row>
    <row r="16" spans="1:7" ht="28.5" x14ac:dyDescent="0.2">
      <c r="A16" s="1057" t="s">
        <v>1069</v>
      </c>
      <c r="B16" s="1058">
        <v>992</v>
      </c>
      <c r="C16" s="1055" t="s">
        <v>1121</v>
      </c>
      <c r="D16" s="1056"/>
      <c r="E16" s="1056">
        <v>732000</v>
      </c>
      <c r="F16" s="1056"/>
      <c r="G16" s="1056">
        <v>732000</v>
      </c>
    </row>
    <row r="17" spans="1:7" ht="28.5" x14ac:dyDescent="0.2">
      <c r="A17" s="1059" t="s">
        <v>1122</v>
      </c>
      <c r="B17" s="1060">
        <v>992</v>
      </c>
      <c r="C17" s="1055" t="s">
        <v>1121</v>
      </c>
      <c r="D17" s="1061"/>
      <c r="E17" s="1061">
        <v>400000</v>
      </c>
      <c r="F17" s="1061"/>
      <c r="G17" s="1061">
        <v>400000</v>
      </c>
    </row>
    <row r="18" spans="1:7" ht="28.5" x14ac:dyDescent="0.2">
      <c r="A18" s="1059" t="s">
        <v>1123</v>
      </c>
      <c r="B18" s="1060">
        <v>952</v>
      </c>
      <c r="C18" s="1062" t="s">
        <v>1124</v>
      </c>
      <c r="D18" s="1061">
        <v>1369144</v>
      </c>
      <c r="E18" s="1061"/>
      <c r="F18" s="1061">
        <v>1369144</v>
      </c>
      <c r="G18" s="845"/>
    </row>
    <row r="19" spans="1:7" ht="28.5" x14ac:dyDescent="0.2">
      <c r="A19" s="1059" t="s">
        <v>1125</v>
      </c>
      <c r="B19" s="1060">
        <v>950</v>
      </c>
      <c r="C19" s="1062" t="s">
        <v>1126</v>
      </c>
      <c r="D19" s="1061">
        <v>1676800</v>
      </c>
      <c r="E19" s="1061"/>
      <c r="F19" s="1061">
        <v>1820638.71</v>
      </c>
      <c r="G19" s="845"/>
    </row>
    <row r="20" spans="1:7" ht="16.5" thickBot="1" x14ac:dyDescent="0.25">
      <c r="A20" s="1063"/>
      <c r="B20" s="1063"/>
      <c r="C20" s="1064" t="s">
        <v>1127</v>
      </c>
      <c r="D20" s="1065">
        <f>D18+D19</f>
        <v>3045944</v>
      </c>
      <c r="E20" s="1065">
        <f>SUM(E14:E19)</f>
        <v>1676800</v>
      </c>
      <c r="F20" s="1065">
        <f>SUM(F18:F19)</f>
        <v>3189782.71</v>
      </c>
      <c r="G20" s="1065">
        <f>SUM(G14:G18)</f>
        <v>1676800</v>
      </c>
    </row>
    <row r="21" spans="1:7" ht="16.5" thickBot="1" x14ac:dyDescent="0.25">
      <c r="A21" s="1066"/>
      <c r="B21" s="1066"/>
      <c r="C21" s="1067" t="s">
        <v>1128</v>
      </c>
      <c r="D21" s="1846">
        <f>D20-E20</f>
        <v>1369144</v>
      </c>
      <c r="E21" s="1846"/>
      <c r="F21" s="1846">
        <f>F20-G20</f>
        <v>1512982.71</v>
      </c>
      <c r="G21" s="1846"/>
    </row>
  </sheetData>
  <mergeCells count="16">
    <mergeCell ref="F21:G21"/>
    <mergeCell ref="D1:G1"/>
    <mergeCell ref="A7:G7"/>
    <mergeCell ref="A6:G6"/>
    <mergeCell ref="A5:G5"/>
    <mergeCell ref="G11:G13"/>
    <mergeCell ref="D10:E10"/>
    <mergeCell ref="F10:G10"/>
    <mergeCell ref="A10:A13"/>
    <mergeCell ref="B10:B13"/>
    <mergeCell ref="C10:C13"/>
    <mergeCell ref="D2:F2"/>
    <mergeCell ref="D11:D13"/>
    <mergeCell ref="F11:F13"/>
    <mergeCell ref="E11:E13"/>
    <mergeCell ref="D21:E21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6"/>
  <sheetViews>
    <sheetView zoomScaleNormal="100" workbookViewId="0">
      <selection activeCell="B29" sqref="B29"/>
    </sheetView>
  </sheetViews>
  <sheetFormatPr defaultRowHeight="12.75" x14ac:dyDescent="0.2"/>
  <cols>
    <col min="1" max="1" width="5" style="13" customWidth="1"/>
    <col min="2" max="2" width="57.28515625" style="13" customWidth="1"/>
    <col min="3" max="3" width="7.140625" style="13" customWidth="1"/>
    <col min="4" max="4" width="8.5703125" style="13" customWidth="1"/>
    <col min="5" max="5" width="9" style="13" customWidth="1"/>
    <col min="6" max="6" width="12.5703125" style="13" hidden="1" customWidth="1"/>
    <col min="7" max="7" width="13" style="13" customWidth="1"/>
    <col min="8" max="8" width="13.42578125" style="13" customWidth="1"/>
    <col min="9" max="9" width="14.140625" style="13" customWidth="1"/>
    <col min="10" max="10" width="10.5703125" style="13" customWidth="1"/>
    <col min="11" max="12" width="11.7109375" style="13" bestFit="1" customWidth="1"/>
    <col min="13" max="16384" width="9.140625" style="13"/>
  </cols>
  <sheetData>
    <row r="1" spans="1:11" ht="15" customHeight="1" x14ac:dyDescent="0.2">
      <c r="A1" s="12"/>
      <c r="B1" s="12"/>
      <c r="C1" s="12"/>
      <c r="D1" s="12"/>
      <c r="E1" s="12"/>
      <c r="F1" s="12"/>
      <c r="G1" s="12"/>
      <c r="H1" s="1866" t="s">
        <v>1433</v>
      </c>
      <c r="I1" s="1866"/>
      <c r="J1" s="1866"/>
    </row>
    <row r="2" spans="1:11" ht="18.75" customHeight="1" x14ac:dyDescent="0.2">
      <c r="A2" s="12"/>
      <c r="B2" s="12"/>
      <c r="C2" s="12"/>
      <c r="D2" s="12"/>
      <c r="E2" s="12"/>
      <c r="F2" s="12"/>
      <c r="G2" s="12"/>
      <c r="H2" s="12"/>
      <c r="I2" s="12"/>
      <c r="J2" s="12"/>
    </row>
    <row r="3" spans="1:11" ht="32.25" customHeight="1" x14ac:dyDescent="0.2">
      <c r="A3" s="1867" t="s">
        <v>1434</v>
      </c>
      <c r="B3" s="1867"/>
      <c r="C3" s="1867"/>
      <c r="D3" s="1867"/>
      <c r="E3" s="1867"/>
      <c r="F3" s="1867"/>
      <c r="G3" s="1867"/>
      <c r="H3" s="1867"/>
      <c r="I3" s="1867"/>
      <c r="J3" s="1867"/>
    </row>
    <row r="4" spans="1:11" ht="10.5" customHeight="1" thickBot="1" x14ac:dyDescent="0.25">
      <c r="A4" s="15"/>
      <c r="B4" s="16"/>
      <c r="C4" s="16"/>
      <c r="D4" s="16"/>
      <c r="E4" s="16"/>
      <c r="F4" s="16"/>
      <c r="G4" s="16"/>
      <c r="H4" s="16"/>
      <c r="I4" s="16"/>
      <c r="J4" s="923"/>
    </row>
    <row r="5" spans="1:11" ht="24.75" customHeight="1" thickBot="1" x14ac:dyDescent="0.25">
      <c r="A5" s="1875" t="s">
        <v>933</v>
      </c>
      <c r="B5" s="1875" t="s">
        <v>934</v>
      </c>
      <c r="C5" s="1875" t="s">
        <v>935</v>
      </c>
      <c r="D5" s="1875" t="s">
        <v>1</v>
      </c>
      <c r="E5" s="1875" t="s">
        <v>2</v>
      </c>
      <c r="F5" s="979"/>
      <c r="G5" s="1875" t="s">
        <v>1416</v>
      </c>
      <c r="H5" s="1868" t="s">
        <v>1420</v>
      </c>
      <c r="I5" s="980" t="s">
        <v>1252</v>
      </c>
      <c r="J5" s="1870" t="s">
        <v>1417</v>
      </c>
    </row>
    <row r="6" spans="1:11" ht="72" x14ac:dyDescent="0.2">
      <c r="A6" s="1876"/>
      <c r="B6" s="1876"/>
      <c r="C6" s="1876"/>
      <c r="D6" s="1876"/>
      <c r="E6" s="1876"/>
      <c r="F6" s="981" t="s">
        <v>936</v>
      </c>
      <c r="G6" s="1876"/>
      <c r="H6" s="1869"/>
      <c r="I6" s="983" t="s">
        <v>1419</v>
      </c>
      <c r="J6" s="1871"/>
    </row>
    <row r="7" spans="1:11" x14ac:dyDescent="0.2">
      <c r="A7" s="17">
        <v>1</v>
      </c>
      <c r="B7" s="17">
        <v>2</v>
      </c>
      <c r="C7" s="1872">
        <v>3</v>
      </c>
      <c r="D7" s="1872"/>
      <c r="E7" s="1872"/>
      <c r="F7" s="17">
        <v>4</v>
      </c>
      <c r="G7" s="18">
        <v>5</v>
      </c>
      <c r="H7" s="18" t="s">
        <v>937</v>
      </c>
      <c r="I7" s="984" t="s">
        <v>938</v>
      </c>
      <c r="J7" s="934" t="s">
        <v>939</v>
      </c>
    </row>
    <row r="8" spans="1:11" ht="29.25" customHeight="1" x14ac:dyDescent="0.2">
      <c r="A8" s="940" t="s">
        <v>941</v>
      </c>
      <c r="B8" s="941" t="s">
        <v>942</v>
      </c>
      <c r="C8" s="19" t="s">
        <v>5</v>
      </c>
      <c r="D8" s="19" t="s">
        <v>333</v>
      </c>
      <c r="E8" s="19" t="s">
        <v>335</v>
      </c>
      <c r="F8" s="20">
        <f>I8</f>
        <v>0</v>
      </c>
      <c r="G8" s="21">
        <v>300000</v>
      </c>
      <c r="H8" s="22">
        <v>300000</v>
      </c>
      <c r="I8" s="985">
        <v>0</v>
      </c>
      <c r="J8" s="935">
        <f>H8/G8</f>
        <v>1</v>
      </c>
    </row>
    <row r="9" spans="1:11" ht="43.5" customHeight="1" x14ac:dyDescent="0.2">
      <c r="A9" s="940" t="s">
        <v>943</v>
      </c>
      <c r="B9" s="942" t="s">
        <v>944</v>
      </c>
      <c r="C9" s="23" t="s">
        <v>5</v>
      </c>
      <c r="D9" s="23" t="s">
        <v>13</v>
      </c>
      <c r="E9" s="24" t="s">
        <v>360</v>
      </c>
      <c r="F9" s="25">
        <f>I9</f>
        <v>0</v>
      </c>
      <c r="G9" s="26">
        <v>0</v>
      </c>
      <c r="H9" s="27">
        <v>0</v>
      </c>
      <c r="I9" s="986">
        <v>0</v>
      </c>
      <c r="J9" s="936">
        <v>0</v>
      </c>
    </row>
    <row r="10" spans="1:11" ht="25.5" x14ac:dyDescent="0.2">
      <c r="A10" s="940" t="s">
        <v>945</v>
      </c>
      <c r="B10" s="942" t="s">
        <v>946</v>
      </c>
      <c r="C10" s="23" t="s">
        <v>27</v>
      </c>
      <c r="D10" s="23" t="s">
        <v>376</v>
      </c>
      <c r="E10" s="24" t="s">
        <v>11</v>
      </c>
      <c r="F10" s="25">
        <v>45000</v>
      </c>
      <c r="G10" s="26">
        <v>45000</v>
      </c>
      <c r="H10" s="27">
        <v>45000</v>
      </c>
      <c r="I10" s="986">
        <v>0</v>
      </c>
      <c r="J10" s="936">
        <f>H10/G10</f>
        <v>1</v>
      </c>
    </row>
    <row r="11" spans="1:11" ht="31.5" customHeight="1" x14ac:dyDescent="0.2">
      <c r="A11" s="940" t="s">
        <v>947</v>
      </c>
      <c r="B11" s="942" t="s">
        <v>948</v>
      </c>
      <c r="C11" s="23" t="s">
        <v>27</v>
      </c>
      <c r="D11" s="23" t="s">
        <v>376</v>
      </c>
      <c r="E11" s="24" t="s">
        <v>11</v>
      </c>
      <c r="F11" s="25">
        <v>27000</v>
      </c>
      <c r="G11" s="26">
        <v>27000</v>
      </c>
      <c r="H11" s="27">
        <v>0</v>
      </c>
      <c r="I11" s="986">
        <v>0</v>
      </c>
      <c r="J11" s="936">
        <v>0</v>
      </c>
    </row>
    <row r="12" spans="1:11" ht="21" customHeight="1" x14ac:dyDescent="0.2">
      <c r="A12" s="940" t="s">
        <v>949</v>
      </c>
      <c r="B12" s="942" t="s">
        <v>950</v>
      </c>
      <c r="C12" s="24" t="s">
        <v>27</v>
      </c>
      <c r="D12" s="24" t="s">
        <v>30</v>
      </c>
      <c r="E12" s="24" t="s">
        <v>360</v>
      </c>
      <c r="F12" s="25">
        <f>I12</f>
        <v>0</v>
      </c>
      <c r="G12" s="26">
        <v>0</v>
      </c>
      <c r="H12" s="27">
        <v>0</v>
      </c>
      <c r="I12" s="986">
        <v>0</v>
      </c>
      <c r="J12" s="936">
        <v>0</v>
      </c>
    </row>
    <row r="13" spans="1:11" ht="19.5" customHeight="1" x14ac:dyDescent="0.2">
      <c r="A13" s="940" t="s">
        <v>937</v>
      </c>
      <c r="B13" s="943" t="s">
        <v>952</v>
      </c>
      <c r="C13" s="28" t="s">
        <v>27</v>
      </c>
      <c r="D13" s="28" t="s">
        <v>30</v>
      </c>
      <c r="E13" s="28" t="s">
        <v>360</v>
      </c>
      <c r="F13" s="29">
        <f>I13</f>
        <v>0</v>
      </c>
      <c r="G13" s="30">
        <v>442500.26</v>
      </c>
      <c r="H13" s="30">
        <v>442500.26</v>
      </c>
      <c r="I13" s="987">
        <v>0</v>
      </c>
      <c r="J13" s="936">
        <f t="shared" ref="J13:J24" si="0">H13/G13</f>
        <v>1</v>
      </c>
    </row>
    <row r="14" spans="1:11" ht="25.5" x14ac:dyDescent="0.2">
      <c r="A14" s="940" t="s">
        <v>938</v>
      </c>
      <c r="B14" s="944" t="s">
        <v>953</v>
      </c>
      <c r="C14" s="31" t="s">
        <v>27</v>
      </c>
      <c r="D14" s="31" t="s">
        <v>30</v>
      </c>
      <c r="E14" s="31" t="s">
        <v>360</v>
      </c>
      <c r="F14" s="32">
        <f>I14</f>
        <v>0</v>
      </c>
      <c r="G14" s="33">
        <v>4187.76</v>
      </c>
      <c r="H14" s="33">
        <v>4187.76</v>
      </c>
      <c r="I14" s="988">
        <v>0</v>
      </c>
      <c r="J14" s="936">
        <f t="shared" si="0"/>
        <v>1</v>
      </c>
      <c r="K14" s="1000"/>
    </row>
    <row r="15" spans="1:11" ht="18" customHeight="1" x14ac:dyDescent="0.2">
      <c r="A15" s="1873" t="s">
        <v>939</v>
      </c>
      <c r="B15" s="945" t="s">
        <v>954</v>
      </c>
      <c r="C15" s="34" t="s">
        <v>27</v>
      </c>
      <c r="D15" s="34" t="s">
        <v>30</v>
      </c>
      <c r="E15" s="34" t="s">
        <v>360</v>
      </c>
      <c r="F15" s="35">
        <f>I15</f>
        <v>0</v>
      </c>
      <c r="G15" s="36">
        <v>625204.46</v>
      </c>
      <c r="H15" s="924">
        <f>H16+H17</f>
        <v>623745.80000000005</v>
      </c>
      <c r="I15" s="989">
        <v>0</v>
      </c>
      <c r="J15" s="937">
        <f t="shared" si="0"/>
        <v>0.99766690723863372</v>
      </c>
    </row>
    <row r="16" spans="1:11" x14ac:dyDescent="0.2">
      <c r="A16" s="1873"/>
      <c r="B16" s="982" t="s">
        <v>955</v>
      </c>
      <c r="C16" s="52"/>
      <c r="D16" s="52"/>
      <c r="E16" s="52"/>
      <c r="F16" s="53">
        <v>508954.46</v>
      </c>
      <c r="G16" s="54">
        <v>508954.46</v>
      </c>
      <c r="H16" s="926">
        <v>507495.8</v>
      </c>
      <c r="I16" s="990">
        <v>0</v>
      </c>
      <c r="J16" s="939">
        <f t="shared" si="0"/>
        <v>0.99713400684218378</v>
      </c>
    </row>
    <row r="17" spans="1:12" ht="18.75" customHeight="1" x14ac:dyDescent="0.2">
      <c r="A17" s="1874"/>
      <c r="B17" s="982" t="s">
        <v>956</v>
      </c>
      <c r="C17" s="52"/>
      <c r="D17" s="52"/>
      <c r="E17" s="52"/>
      <c r="F17" s="53">
        <v>116250</v>
      </c>
      <c r="G17" s="54">
        <v>116250</v>
      </c>
      <c r="H17" s="926">
        <v>116250</v>
      </c>
      <c r="I17" s="990">
        <v>0</v>
      </c>
      <c r="J17" s="938">
        <f t="shared" si="0"/>
        <v>1</v>
      </c>
    </row>
    <row r="18" spans="1:12" ht="19.5" customHeight="1" x14ac:dyDescent="0.2">
      <c r="A18" s="940" t="s">
        <v>940</v>
      </c>
      <c r="B18" s="943" t="s">
        <v>957</v>
      </c>
      <c r="C18" s="28" t="s">
        <v>27</v>
      </c>
      <c r="D18" s="28" t="s">
        <v>30</v>
      </c>
      <c r="E18" s="28" t="s">
        <v>360</v>
      </c>
      <c r="F18" s="29">
        <v>25000</v>
      </c>
      <c r="G18" s="30">
        <v>25000</v>
      </c>
      <c r="H18" s="30">
        <v>25000</v>
      </c>
      <c r="I18" s="987">
        <v>2041.24</v>
      </c>
      <c r="J18" s="936">
        <f t="shared" si="0"/>
        <v>1</v>
      </c>
    </row>
    <row r="19" spans="1:12" ht="19.5" customHeight="1" x14ac:dyDescent="0.2">
      <c r="A19" s="940" t="s">
        <v>958</v>
      </c>
      <c r="B19" s="945" t="s">
        <v>959</v>
      </c>
      <c r="C19" s="34" t="s">
        <v>27</v>
      </c>
      <c r="D19" s="34" t="s">
        <v>30</v>
      </c>
      <c r="E19" s="34" t="s">
        <v>360</v>
      </c>
      <c r="F19" s="35">
        <f t="shared" ref="F19:F26" si="1">I19</f>
        <v>42089.33</v>
      </c>
      <c r="G19" s="36">
        <v>303100</v>
      </c>
      <c r="H19" s="924">
        <v>303100</v>
      </c>
      <c r="I19" s="989">
        <v>42089.33</v>
      </c>
      <c r="J19" s="936">
        <f t="shared" si="0"/>
        <v>1</v>
      </c>
    </row>
    <row r="20" spans="1:12" ht="21" customHeight="1" x14ac:dyDescent="0.2">
      <c r="A20" s="1001" t="s">
        <v>960</v>
      </c>
      <c r="B20" s="1002" t="s">
        <v>961</v>
      </c>
      <c r="C20" s="1003" t="s">
        <v>27</v>
      </c>
      <c r="D20" s="1003" t="s">
        <v>30</v>
      </c>
      <c r="E20" s="1003" t="s">
        <v>360</v>
      </c>
      <c r="F20" s="1004">
        <f t="shared" si="1"/>
        <v>114959.74</v>
      </c>
      <c r="G20" s="1005">
        <v>115000</v>
      </c>
      <c r="H20" s="1005">
        <v>115000</v>
      </c>
      <c r="I20" s="987">
        <v>114959.74</v>
      </c>
      <c r="J20" s="936">
        <f t="shared" si="0"/>
        <v>1</v>
      </c>
    </row>
    <row r="21" spans="1:12" ht="42" customHeight="1" x14ac:dyDescent="0.2">
      <c r="A21" s="959" t="s">
        <v>962</v>
      </c>
      <c r="B21" s="944" t="s">
        <v>963</v>
      </c>
      <c r="C21" s="31" t="s">
        <v>27</v>
      </c>
      <c r="D21" s="31" t="s">
        <v>30</v>
      </c>
      <c r="E21" s="31" t="s">
        <v>360</v>
      </c>
      <c r="F21" s="32">
        <f t="shared" si="1"/>
        <v>0</v>
      </c>
      <c r="G21" s="33">
        <v>4795.5600000000004</v>
      </c>
      <c r="H21" s="33">
        <v>4795.5600000000004</v>
      </c>
      <c r="I21" s="988">
        <v>0</v>
      </c>
      <c r="J21" s="975">
        <f t="shared" si="0"/>
        <v>1</v>
      </c>
    </row>
    <row r="22" spans="1:12" ht="32.25" customHeight="1" x14ac:dyDescent="0.2">
      <c r="A22" s="940" t="s">
        <v>964</v>
      </c>
      <c r="B22" s="946" t="s">
        <v>965</v>
      </c>
      <c r="C22" s="38" t="s">
        <v>27</v>
      </c>
      <c r="D22" s="38" t="s">
        <v>30</v>
      </c>
      <c r="E22" s="38" t="s">
        <v>360</v>
      </c>
      <c r="F22" s="39">
        <f t="shared" si="1"/>
        <v>141643.35</v>
      </c>
      <c r="G22" s="39">
        <v>145204.44</v>
      </c>
      <c r="H22" s="47">
        <v>145204.44</v>
      </c>
      <c r="I22" s="988">
        <v>141643.35</v>
      </c>
      <c r="J22" s="936">
        <f t="shared" si="0"/>
        <v>1</v>
      </c>
    </row>
    <row r="23" spans="1:12" ht="30.75" customHeight="1" x14ac:dyDescent="0.2">
      <c r="A23" s="940" t="s">
        <v>966</v>
      </c>
      <c r="B23" s="946" t="s">
        <v>967</v>
      </c>
      <c r="C23" s="38" t="s">
        <v>27</v>
      </c>
      <c r="D23" s="38" t="s">
        <v>30</v>
      </c>
      <c r="E23" s="38" t="s">
        <v>360</v>
      </c>
      <c r="F23" s="39">
        <f t="shared" si="1"/>
        <v>0</v>
      </c>
      <c r="G23" s="39">
        <v>24555.63</v>
      </c>
      <c r="H23" s="47">
        <v>24555.63</v>
      </c>
      <c r="I23" s="988">
        <v>0</v>
      </c>
      <c r="J23" s="936">
        <f t="shared" si="0"/>
        <v>1</v>
      </c>
      <c r="K23" s="1000"/>
      <c r="L23" s="1000"/>
    </row>
    <row r="24" spans="1:12" ht="36.75" customHeight="1" x14ac:dyDescent="0.2">
      <c r="A24" s="940" t="s">
        <v>968</v>
      </c>
      <c r="B24" s="947" t="s">
        <v>1532</v>
      </c>
      <c r="C24" s="40" t="s">
        <v>27</v>
      </c>
      <c r="D24" s="40" t="s">
        <v>30</v>
      </c>
      <c r="E24" s="40" t="s">
        <v>360</v>
      </c>
      <c r="F24" s="41">
        <f t="shared" si="1"/>
        <v>68258.2</v>
      </c>
      <c r="G24" s="41">
        <v>116944.37</v>
      </c>
      <c r="H24" s="927">
        <f>47861.37+68258.2</f>
        <v>116119.57</v>
      </c>
      <c r="I24" s="989">
        <v>68258.2</v>
      </c>
      <c r="J24" s="936">
        <f t="shared" si="0"/>
        <v>0.99294707389504955</v>
      </c>
    </row>
    <row r="25" spans="1:12" ht="30" customHeight="1" x14ac:dyDescent="0.2">
      <c r="A25" s="940" t="s">
        <v>969</v>
      </c>
      <c r="B25" s="948" t="s">
        <v>970</v>
      </c>
      <c r="C25" s="42" t="s">
        <v>27</v>
      </c>
      <c r="D25" s="42" t="s">
        <v>30</v>
      </c>
      <c r="E25" s="42" t="s">
        <v>360</v>
      </c>
      <c r="F25" s="43">
        <f t="shared" si="1"/>
        <v>0</v>
      </c>
      <c r="G25" s="43">
        <v>0</v>
      </c>
      <c r="H25" s="928">
        <v>0</v>
      </c>
      <c r="I25" s="991">
        <v>0</v>
      </c>
      <c r="J25" s="936">
        <v>0</v>
      </c>
    </row>
    <row r="26" spans="1:12" ht="16.5" customHeight="1" x14ac:dyDescent="0.2">
      <c r="A26" s="940" t="s">
        <v>971</v>
      </c>
      <c r="B26" s="948" t="s">
        <v>972</v>
      </c>
      <c r="C26" s="42" t="s">
        <v>27</v>
      </c>
      <c r="D26" s="42" t="s">
        <v>30</v>
      </c>
      <c r="E26" s="42" t="s">
        <v>360</v>
      </c>
      <c r="F26" s="43">
        <f t="shared" si="1"/>
        <v>139999.74</v>
      </c>
      <c r="G26" s="43">
        <v>139999.74</v>
      </c>
      <c r="H26" s="928">
        <v>139999.74</v>
      </c>
      <c r="I26" s="991">
        <v>139999.74</v>
      </c>
      <c r="J26" s="936">
        <f>H26/G26</f>
        <v>1</v>
      </c>
    </row>
    <row r="27" spans="1:12" ht="29.25" customHeight="1" x14ac:dyDescent="0.2">
      <c r="A27" s="940" t="s">
        <v>973</v>
      </c>
      <c r="B27" s="946" t="s">
        <v>974</v>
      </c>
      <c r="C27" s="38" t="s">
        <v>387</v>
      </c>
      <c r="D27" s="38" t="s">
        <v>389</v>
      </c>
      <c r="E27" s="38" t="s">
        <v>360</v>
      </c>
      <c r="F27" s="39">
        <v>135000</v>
      </c>
      <c r="G27" s="39">
        <v>135000</v>
      </c>
      <c r="H27" s="47">
        <v>135000</v>
      </c>
      <c r="I27" s="988">
        <v>37557</v>
      </c>
      <c r="J27" s="936">
        <f t="shared" ref="J27:J46" si="2">H27/G27</f>
        <v>1</v>
      </c>
    </row>
    <row r="28" spans="1:12" ht="33.75" customHeight="1" x14ac:dyDescent="0.2">
      <c r="A28" s="940" t="s">
        <v>975</v>
      </c>
      <c r="B28" s="949" t="s">
        <v>976</v>
      </c>
      <c r="C28" s="31" t="s">
        <v>387</v>
      </c>
      <c r="D28" s="31" t="s">
        <v>392</v>
      </c>
      <c r="E28" s="31" t="s">
        <v>360</v>
      </c>
      <c r="F28" s="32">
        <f>60000-10000</f>
        <v>50000</v>
      </c>
      <c r="G28" s="32">
        <f>60000-10000</f>
        <v>50000</v>
      </c>
      <c r="H28" s="33">
        <v>49968.75</v>
      </c>
      <c r="I28" s="988">
        <v>0</v>
      </c>
      <c r="J28" s="936">
        <f t="shared" si="2"/>
        <v>0.99937500000000001</v>
      </c>
    </row>
    <row r="29" spans="1:12" ht="20.25" customHeight="1" x14ac:dyDescent="0.2">
      <c r="A29" s="940" t="s">
        <v>977</v>
      </c>
      <c r="B29" s="949" t="s">
        <v>978</v>
      </c>
      <c r="C29" s="31" t="s">
        <v>387</v>
      </c>
      <c r="D29" s="31" t="s">
        <v>392</v>
      </c>
      <c r="E29" s="31" t="s">
        <v>395</v>
      </c>
      <c r="F29" s="32">
        <f>I29</f>
        <v>0</v>
      </c>
      <c r="G29" s="32">
        <v>40000</v>
      </c>
      <c r="H29" s="33">
        <v>39999.599999999999</v>
      </c>
      <c r="I29" s="988">
        <v>0</v>
      </c>
      <c r="J29" s="936">
        <f t="shared" si="2"/>
        <v>0.99998999999999993</v>
      </c>
    </row>
    <row r="30" spans="1:12" ht="18.75" customHeight="1" x14ac:dyDescent="0.2">
      <c r="A30" s="940" t="s">
        <v>979</v>
      </c>
      <c r="B30" s="949" t="s">
        <v>980</v>
      </c>
      <c r="C30" s="31" t="s">
        <v>34</v>
      </c>
      <c r="D30" s="31" t="s">
        <v>36</v>
      </c>
      <c r="E30" s="31" t="s">
        <v>395</v>
      </c>
      <c r="F30" s="32" t="e">
        <f>#REF!</f>
        <v>#REF!</v>
      </c>
      <c r="G30" s="32">
        <v>184500</v>
      </c>
      <c r="H30" s="33">
        <v>184500</v>
      </c>
      <c r="I30" s="988">
        <v>0</v>
      </c>
      <c r="J30" s="936">
        <f t="shared" si="2"/>
        <v>1</v>
      </c>
    </row>
    <row r="31" spans="1:12" ht="18.75" customHeight="1" x14ac:dyDescent="0.2">
      <c r="A31" s="940" t="s">
        <v>981</v>
      </c>
      <c r="B31" s="950" t="s">
        <v>982</v>
      </c>
      <c r="C31" s="38" t="s">
        <v>34</v>
      </c>
      <c r="D31" s="38" t="s">
        <v>36</v>
      </c>
      <c r="E31" s="38" t="s">
        <v>395</v>
      </c>
      <c r="F31" s="39">
        <f>I31</f>
        <v>0</v>
      </c>
      <c r="G31" s="39">
        <v>29500</v>
      </c>
      <c r="H31" s="47">
        <v>20017</v>
      </c>
      <c r="I31" s="988"/>
      <c r="J31" s="936">
        <f t="shared" si="2"/>
        <v>0.67854237288135588</v>
      </c>
    </row>
    <row r="32" spans="1:12" ht="20.25" customHeight="1" x14ac:dyDescent="0.2">
      <c r="A32" s="940" t="s">
        <v>983</v>
      </c>
      <c r="B32" s="951" t="s">
        <v>984</v>
      </c>
      <c r="C32" s="42" t="s">
        <v>34</v>
      </c>
      <c r="D32" s="42" t="s">
        <v>36</v>
      </c>
      <c r="E32" s="42" t="s">
        <v>395</v>
      </c>
      <c r="F32" s="43">
        <f>I32</f>
        <v>0</v>
      </c>
      <c r="G32" s="43">
        <v>96800</v>
      </c>
      <c r="H32" s="928">
        <v>14520</v>
      </c>
      <c r="I32" s="991">
        <v>0</v>
      </c>
      <c r="J32" s="936">
        <f t="shared" si="2"/>
        <v>0.15</v>
      </c>
    </row>
    <row r="33" spans="1:11" ht="18" customHeight="1" x14ac:dyDescent="0.2">
      <c r="A33" s="940" t="s">
        <v>985</v>
      </c>
      <c r="B33" s="952" t="s">
        <v>986</v>
      </c>
      <c r="C33" s="38" t="s">
        <v>69</v>
      </c>
      <c r="D33" s="38" t="s">
        <v>74</v>
      </c>
      <c r="E33" s="38" t="s">
        <v>360</v>
      </c>
      <c r="F33" s="39">
        <f>I33</f>
        <v>0</v>
      </c>
      <c r="G33" s="39">
        <v>13000</v>
      </c>
      <c r="H33" s="47">
        <v>12950.7</v>
      </c>
      <c r="I33" s="988">
        <v>0</v>
      </c>
      <c r="J33" s="936">
        <f t="shared" si="2"/>
        <v>0.99620769230769235</v>
      </c>
    </row>
    <row r="34" spans="1:11" ht="45" customHeight="1" x14ac:dyDescent="0.2">
      <c r="A34" s="940" t="s">
        <v>987</v>
      </c>
      <c r="B34" s="949" t="s">
        <v>988</v>
      </c>
      <c r="C34" s="31" t="s">
        <v>69</v>
      </c>
      <c r="D34" s="31" t="s">
        <v>74</v>
      </c>
      <c r="E34" s="31" t="s">
        <v>395</v>
      </c>
      <c r="F34" s="32">
        <f>I34</f>
        <v>0</v>
      </c>
      <c r="G34" s="32">
        <v>32700</v>
      </c>
      <c r="H34" s="33">
        <v>32685.79</v>
      </c>
      <c r="I34" s="988">
        <v>0</v>
      </c>
      <c r="J34" s="936">
        <f t="shared" si="2"/>
        <v>0.99956544342507647</v>
      </c>
    </row>
    <row r="35" spans="1:11" ht="35.25" customHeight="1" x14ac:dyDescent="0.2">
      <c r="A35" s="940" t="s">
        <v>989</v>
      </c>
      <c r="B35" s="953" t="s">
        <v>990</v>
      </c>
      <c r="C35" s="42" t="s">
        <v>93</v>
      </c>
      <c r="D35" s="42" t="s">
        <v>521</v>
      </c>
      <c r="E35" s="42" t="s">
        <v>524</v>
      </c>
      <c r="F35" s="43">
        <v>42500</v>
      </c>
      <c r="G35" s="43">
        <v>42500</v>
      </c>
      <c r="H35" s="928">
        <v>42500</v>
      </c>
      <c r="I35" s="991">
        <v>0</v>
      </c>
      <c r="J35" s="936">
        <f t="shared" si="2"/>
        <v>1</v>
      </c>
    </row>
    <row r="36" spans="1:11" ht="27" customHeight="1" x14ac:dyDescent="0.2">
      <c r="A36" s="940" t="s">
        <v>991</v>
      </c>
      <c r="B36" s="949" t="s">
        <v>992</v>
      </c>
      <c r="C36" s="31" t="s">
        <v>93</v>
      </c>
      <c r="D36" s="31" t="s">
        <v>96</v>
      </c>
      <c r="E36" s="31" t="s">
        <v>360</v>
      </c>
      <c r="F36" s="32">
        <v>30000</v>
      </c>
      <c r="G36" s="33">
        <v>30000</v>
      </c>
      <c r="H36" s="47">
        <v>29878.41</v>
      </c>
      <c r="I36" s="988">
        <v>0</v>
      </c>
      <c r="J36" s="936">
        <f t="shared" si="2"/>
        <v>0.99594700000000003</v>
      </c>
    </row>
    <row r="37" spans="1:11" ht="28.5" customHeight="1" x14ac:dyDescent="0.2">
      <c r="A37" s="940" t="s">
        <v>993</v>
      </c>
      <c r="B37" s="949" t="s">
        <v>994</v>
      </c>
      <c r="C37" s="31" t="s">
        <v>93</v>
      </c>
      <c r="D37" s="31" t="s">
        <v>96</v>
      </c>
      <c r="E37" s="31" t="s">
        <v>360</v>
      </c>
      <c r="F37" s="32">
        <v>10000</v>
      </c>
      <c r="G37" s="45">
        <v>10000</v>
      </c>
      <c r="H37" s="46">
        <v>10000</v>
      </c>
      <c r="I37" s="991">
        <v>0</v>
      </c>
      <c r="J37" s="936">
        <f t="shared" si="2"/>
        <v>1</v>
      </c>
    </row>
    <row r="38" spans="1:11" ht="23.25" customHeight="1" x14ac:dyDescent="0.2">
      <c r="A38" s="940" t="s">
        <v>995</v>
      </c>
      <c r="B38" s="949" t="s">
        <v>996</v>
      </c>
      <c r="C38" s="31" t="s">
        <v>93</v>
      </c>
      <c r="D38" s="31" t="s">
        <v>96</v>
      </c>
      <c r="E38" s="31" t="s">
        <v>395</v>
      </c>
      <c r="F38" s="32">
        <f>I38</f>
        <v>0</v>
      </c>
      <c r="G38" s="32">
        <v>9100</v>
      </c>
      <c r="H38" s="33">
        <v>9100</v>
      </c>
      <c r="I38" s="988">
        <v>0</v>
      </c>
      <c r="J38" s="936">
        <f t="shared" si="2"/>
        <v>1</v>
      </c>
    </row>
    <row r="39" spans="1:11" ht="23.25" customHeight="1" x14ac:dyDescent="0.2">
      <c r="A39" s="940" t="s">
        <v>997</v>
      </c>
      <c r="B39" s="949" t="s">
        <v>998</v>
      </c>
      <c r="C39" s="31" t="s">
        <v>93</v>
      </c>
      <c r="D39" s="31" t="s">
        <v>96</v>
      </c>
      <c r="E39" s="31" t="s">
        <v>395</v>
      </c>
      <c r="F39" s="32">
        <f>I39</f>
        <v>0</v>
      </c>
      <c r="G39" s="32">
        <v>20640</v>
      </c>
      <c r="H39" s="33">
        <v>20640</v>
      </c>
      <c r="I39" s="991">
        <v>0</v>
      </c>
      <c r="J39" s="936">
        <f t="shared" si="2"/>
        <v>1</v>
      </c>
    </row>
    <row r="40" spans="1:11" ht="32.25" customHeight="1" x14ac:dyDescent="0.2">
      <c r="A40" s="940" t="s">
        <v>999</v>
      </c>
      <c r="B40" s="949" t="s">
        <v>1000</v>
      </c>
      <c r="C40" s="31" t="s">
        <v>93</v>
      </c>
      <c r="D40" s="31" t="s">
        <v>96</v>
      </c>
      <c r="E40" s="31" t="s">
        <v>538</v>
      </c>
      <c r="F40" s="32">
        <v>20000</v>
      </c>
      <c r="G40" s="32">
        <v>20000</v>
      </c>
      <c r="H40" s="33">
        <v>20000</v>
      </c>
      <c r="I40" s="988">
        <v>0</v>
      </c>
      <c r="J40" s="936">
        <f t="shared" si="2"/>
        <v>1</v>
      </c>
    </row>
    <row r="41" spans="1:11" ht="31.5" customHeight="1" x14ac:dyDescent="0.2">
      <c r="A41" s="940" t="s">
        <v>1001</v>
      </c>
      <c r="B41" s="949" t="s">
        <v>1002</v>
      </c>
      <c r="C41" s="31" t="s">
        <v>93</v>
      </c>
      <c r="D41" s="31" t="s">
        <v>96</v>
      </c>
      <c r="E41" s="31" t="s">
        <v>538</v>
      </c>
      <c r="F41" s="33">
        <f>I41</f>
        <v>0</v>
      </c>
      <c r="G41" s="43">
        <v>102900</v>
      </c>
      <c r="H41" s="928">
        <v>102900</v>
      </c>
      <c r="I41" s="991">
        <v>0</v>
      </c>
      <c r="J41" s="936">
        <f t="shared" si="2"/>
        <v>1</v>
      </c>
    </row>
    <row r="42" spans="1:11" ht="31.5" customHeight="1" x14ac:dyDescent="0.2">
      <c r="A42" s="940" t="s">
        <v>1003</v>
      </c>
      <c r="B42" s="954" t="s">
        <v>1004</v>
      </c>
      <c r="C42" s="48" t="s">
        <v>184</v>
      </c>
      <c r="D42" s="48" t="s">
        <v>186</v>
      </c>
      <c r="E42" s="48" t="s">
        <v>360</v>
      </c>
      <c r="F42" s="44">
        <f>I42</f>
        <v>0</v>
      </c>
      <c r="G42" s="44">
        <v>242762</v>
      </c>
      <c r="H42" s="49">
        <v>241561.32</v>
      </c>
      <c r="I42" s="991">
        <v>0</v>
      </c>
      <c r="J42" s="936">
        <f t="shared" si="2"/>
        <v>0.99505408589482702</v>
      </c>
    </row>
    <row r="43" spans="1:11" ht="18" customHeight="1" x14ac:dyDescent="0.2">
      <c r="A43" s="940" t="s">
        <v>1005</v>
      </c>
      <c r="B43" s="949" t="s">
        <v>1006</v>
      </c>
      <c r="C43" s="31" t="s">
        <v>184</v>
      </c>
      <c r="D43" s="31" t="s">
        <v>186</v>
      </c>
      <c r="E43" s="31" t="s">
        <v>395</v>
      </c>
      <c r="F43" s="32">
        <v>5000</v>
      </c>
      <c r="G43" s="32">
        <v>5000</v>
      </c>
      <c r="H43" s="33">
        <v>4674</v>
      </c>
      <c r="I43" s="988">
        <v>0</v>
      </c>
      <c r="J43" s="936">
        <f t="shared" si="2"/>
        <v>0.93479999999999996</v>
      </c>
      <c r="K43" s="1000"/>
    </row>
    <row r="44" spans="1:11" ht="18" customHeight="1" x14ac:dyDescent="0.2">
      <c r="A44" s="940" t="s">
        <v>1007</v>
      </c>
      <c r="B44" s="949" t="s">
        <v>1008</v>
      </c>
      <c r="C44" s="31" t="s">
        <v>184</v>
      </c>
      <c r="D44" s="31" t="s">
        <v>194</v>
      </c>
      <c r="E44" s="31" t="s">
        <v>395</v>
      </c>
      <c r="F44" s="32">
        <v>7000</v>
      </c>
      <c r="G44" s="32">
        <v>7000</v>
      </c>
      <c r="H44" s="33">
        <v>6841.5</v>
      </c>
      <c r="I44" s="988">
        <v>0</v>
      </c>
      <c r="J44" s="936">
        <f t="shared" si="2"/>
        <v>0.97735714285714281</v>
      </c>
    </row>
    <row r="45" spans="1:11" ht="31.5" customHeight="1" x14ac:dyDescent="0.2">
      <c r="A45" s="940" t="s">
        <v>1009</v>
      </c>
      <c r="B45" s="949" t="s">
        <v>1010</v>
      </c>
      <c r="C45" s="31" t="s">
        <v>184</v>
      </c>
      <c r="D45" s="31" t="s">
        <v>194</v>
      </c>
      <c r="E45" s="31" t="s">
        <v>395</v>
      </c>
      <c r="F45" s="32">
        <v>20000</v>
      </c>
      <c r="G45" s="32">
        <v>20000</v>
      </c>
      <c r="H45" s="33">
        <v>19999.55</v>
      </c>
      <c r="I45" s="988">
        <v>0</v>
      </c>
      <c r="J45" s="936">
        <f t="shared" si="2"/>
        <v>0.99997749999999996</v>
      </c>
    </row>
    <row r="46" spans="1:11" ht="15.75" customHeight="1" x14ac:dyDescent="0.2">
      <c r="A46" s="955" t="s">
        <v>1011</v>
      </c>
      <c r="B46" s="949" t="s">
        <v>1012</v>
      </c>
      <c r="C46" s="31" t="s">
        <v>184</v>
      </c>
      <c r="D46" s="31" t="s">
        <v>194</v>
      </c>
      <c r="E46" s="31" t="s">
        <v>395</v>
      </c>
      <c r="F46" s="32">
        <v>6000</v>
      </c>
      <c r="G46" s="32">
        <v>6000</v>
      </c>
      <c r="H46" s="33">
        <v>6000</v>
      </c>
      <c r="I46" s="988">
        <v>0</v>
      </c>
      <c r="J46" s="936">
        <f t="shared" si="2"/>
        <v>1</v>
      </c>
    </row>
    <row r="47" spans="1:11" x14ac:dyDescent="0.2">
      <c r="A47" s="956" t="s">
        <v>1013</v>
      </c>
      <c r="B47" s="957" t="s">
        <v>1014</v>
      </c>
      <c r="C47" s="34" t="s">
        <v>184</v>
      </c>
      <c r="D47" s="34" t="s">
        <v>219</v>
      </c>
      <c r="E47" s="50"/>
      <c r="F47" s="51">
        <f>F48+F49</f>
        <v>11400</v>
      </c>
      <c r="G47" s="51">
        <f t="shared" ref="G47:H47" si="3">G48+G49</f>
        <v>11400</v>
      </c>
      <c r="H47" s="929">
        <f t="shared" si="3"/>
        <v>0</v>
      </c>
      <c r="I47" s="992">
        <v>0</v>
      </c>
      <c r="J47" s="937">
        <v>0</v>
      </c>
    </row>
    <row r="48" spans="1:11" x14ac:dyDescent="0.2">
      <c r="A48" s="956"/>
      <c r="B48" s="1860" t="s">
        <v>1015</v>
      </c>
      <c r="C48" s="34"/>
      <c r="D48" s="34"/>
      <c r="E48" s="52" t="s">
        <v>712</v>
      </c>
      <c r="F48" s="53">
        <v>10209.76</v>
      </c>
      <c r="G48" s="53">
        <v>10209.76</v>
      </c>
      <c r="H48" s="926">
        <v>0</v>
      </c>
      <c r="I48" s="990">
        <v>0</v>
      </c>
      <c r="J48" s="939">
        <v>0</v>
      </c>
    </row>
    <row r="49" spans="1:10" x14ac:dyDescent="0.2">
      <c r="A49" s="958"/>
      <c r="B49" s="1861"/>
      <c r="C49" s="31"/>
      <c r="D49" s="31"/>
      <c r="E49" s="55" t="s">
        <v>713</v>
      </c>
      <c r="F49" s="56">
        <v>1190.24</v>
      </c>
      <c r="G49" s="56">
        <v>1190.24</v>
      </c>
      <c r="H49" s="930">
        <v>0</v>
      </c>
      <c r="I49" s="993">
        <v>0</v>
      </c>
      <c r="J49" s="938">
        <v>0</v>
      </c>
    </row>
    <row r="50" spans="1:10" ht="25.5" x14ac:dyDescent="0.2">
      <c r="A50" s="959" t="s">
        <v>1016</v>
      </c>
      <c r="B50" s="949" t="s">
        <v>1017</v>
      </c>
      <c r="C50" s="31" t="s">
        <v>714</v>
      </c>
      <c r="D50" s="31" t="s">
        <v>716</v>
      </c>
      <c r="E50" s="31" t="s">
        <v>718</v>
      </c>
      <c r="F50" s="32">
        <v>25000</v>
      </c>
      <c r="G50" s="32">
        <v>25000</v>
      </c>
      <c r="H50" s="33">
        <v>25000</v>
      </c>
      <c r="I50" s="988">
        <v>0</v>
      </c>
      <c r="J50" s="936">
        <v>0</v>
      </c>
    </row>
    <row r="51" spans="1:10" ht="31.5" customHeight="1" x14ac:dyDescent="0.2">
      <c r="A51" s="959" t="s">
        <v>1018</v>
      </c>
      <c r="B51" s="949" t="s">
        <v>1019</v>
      </c>
      <c r="C51" s="31" t="s">
        <v>234</v>
      </c>
      <c r="D51" s="31" t="s">
        <v>256</v>
      </c>
      <c r="E51" s="31" t="s">
        <v>395</v>
      </c>
      <c r="F51" s="32">
        <v>6277.92</v>
      </c>
      <c r="G51" s="32">
        <v>6277.92</v>
      </c>
      <c r="H51" s="33">
        <v>6277.92</v>
      </c>
      <c r="I51" s="988">
        <v>0</v>
      </c>
      <c r="J51" s="936">
        <f>H51/G51</f>
        <v>1</v>
      </c>
    </row>
    <row r="52" spans="1:10" ht="30" customHeight="1" x14ac:dyDescent="0.2">
      <c r="A52" s="959" t="s">
        <v>1021</v>
      </c>
      <c r="B52" s="949" t="s">
        <v>1020</v>
      </c>
      <c r="C52" s="31" t="s">
        <v>271</v>
      </c>
      <c r="D52" s="31" t="s">
        <v>770</v>
      </c>
      <c r="E52" s="31" t="s">
        <v>11</v>
      </c>
      <c r="F52" s="32">
        <v>40000</v>
      </c>
      <c r="G52" s="32">
        <v>40000</v>
      </c>
      <c r="H52" s="33">
        <v>34752</v>
      </c>
      <c r="I52" s="988">
        <v>0</v>
      </c>
      <c r="J52" s="936">
        <f>H52/G52</f>
        <v>0.86880000000000002</v>
      </c>
    </row>
    <row r="53" spans="1:10" ht="43.5" customHeight="1" x14ac:dyDescent="0.2">
      <c r="A53" s="959" t="s">
        <v>1023</v>
      </c>
      <c r="B53" s="949" t="s">
        <v>1022</v>
      </c>
      <c r="C53" s="31" t="s">
        <v>271</v>
      </c>
      <c r="D53" s="31" t="s">
        <v>273</v>
      </c>
      <c r="E53" s="31" t="s">
        <v>360</v>
      </c>
      <c r="F53" s="32">
        <f>I53</f>
        <v>0</v>
      </c>
      <c r="G53" s="32">
        <v>62000</v>
      </c>
      <c r="H53" s="33">
        <v>61554.3</v>
      </c>
      <c r="I53" s="988">
        <v>0</v>
      </c>
      <c r="J53" s="936">
        <f>H53/G53</f>
        <v>0.99281129032258064</v>
      </c>
    </row>
    <row r="54" spans="1:10" ht="33" customHeight="1" x14ac:dyDescent="0.2">
      <c r="A54" s="959" t="s">
        <v>1025</v>
      </c>
      <c r="B54" s="953" t="s">
        <v>1024</v>
      </c>
      <c r="C54" s="42" t="s">
        <v>308</v>
      </c>
      <c r="D54" s="42" t="s">
        <v>844</v>
      </c>
      <c r="E54" s="42" t="s">
        <v>538</v>
      </c>
      <c r="F54" s="43">
        <f>I54</f>
        <v>0</v>
      </c>
      <c r="G54" s="43">
        <v>78810</v>
      </c>
      <c r="H54" s="928">
        <v>63468.959999999999</v>
      </c>
      <c r="I54" s="991">
        <v>0</v>
      </c>
      <c r="J54" s="936">
        <f>H54/G54</f>
        <v>0.80534145413018654</v>
      </c>
    </row>
    <row r="55" spans="1:10" ht="25.5" x14ac:dyDescent="0.2">
      <c r="A55" s="959" t="s">
        <v>1027</v>
      </c>
      <c r="B55" s="952" t="s">
        <v>1026</v>
      </c>
      <c r="C55" s="38" t="s">
        <v>308</v>
      </c>
      <c r="D55" s="38" t="s">
        <v>864</v>
      </c>
      <c r="E55" s="38" t="s">
        <v>538</v>
      </c>
      <c r="F55" s="39">
        <f>I55</f>
        <v>0</v>
      </c>
      <c r="G55" s="39">
        <v>47190</v>
      </c>
      <c r="H55" s="47">
        <v>31659.67</v>
      </c>
      <c r="I55" s="988">
        <v>0</v>
      </c>
      <c r="J55" s="936">
        <f>H55/G55</f>
        <v>0.67089785971604154</v>
      </c>
    </row>
    <row r="56" spans="1:10" ht="51" x14ac:dyDescent="0.2">
      <c r="A56" s="959" t="s">
        <v>1029</v>
      </c>
      <c r="B56" s="949" t="s">
        <v>1028</v>
      </c>
      <c r="C56" s="31" t="s">
        <v>308</v>
      </c>
      <c r="D56" s="31" t="s">
        <v>867</v>
      </c>
      <c r="E56" s="31" t="s">
        <v>11</v>
      </c>
      <c r="F56" s="32">
        <f>I56</f>
        <v>0</v>
      </c>
      <c r="G56" s="32">
        <v>0</v>
      </c>
      <c r="H56" s="33">
        <v>0</v>
      </c>
      <c r="I56" s="988">
        <v>0</v>
      </c>
      <c r="J56" s="936">
        <v>0</v>
      </c>
    </row>
    <row r="57" spans="1:10" ht="17.25" customHeight="1" x14ac:dyDescent="0.2">
      <c r="A57" s="959" t="s">
        <v>1031</v>
      </c>
      <c r="B57" s="949" t="s">
        <v>1030</v>
      </c>
      <c r="C57" s="31" t="s">
        <v>308</v>
      </c>
      <c r="D57" s="31" t="s">
        <v>873</v>
      </c>
      <c r="E57" s="31" t="s">
        <v>360</v>
      </c>
      <c r="F57" s="32">
        <f>I57</f>
        <v>0</v>
      </c>
      <c r="G57" s="32">
        <v>62169.13</v>
      </c>
      <c r="H57" s="33">
        <v>62169.13</v>
      </c>
      <c r="I57" s="988">
        <v>0</v>
      </c>
      <c r="J57" s="936">
        <f t="shared" ref="J57:J63" si="4">H57/G57</f>
        <v>1</v>
      </c>
    </row>
    <row r="58" spans="1:10" ht="17.25" customHeight="1" x14ac:dyDescent="0.2">
      <c r="A58" s="959" t="s">
        <v>1033</v>
      </c>
      <c r="B58" s="949" t="s">
        <v>1032</v>
      </c>
      <c r="C58" s="31" t="s">
        <v>308</v>
      </c>
      <c r="D58" s="31" t="s">
        <v>873</v>
      </c>
      <c r="E58" s="31" t="s">
        <v>360</v>
      </c>
      <c r="F58" s="32">
        <v>20000</v>
      </c>
      <c r="G58" s="32">
        <v>20000</v>
      </c>
      <c r="H58" s="33">
        <v>19987.5</v>
      </c>
      <c r="I58" s="988">
        <v>0</v>
      </c>
      <c r="J58" s="936">
        <f t="shared" si="4"/>
        <v>0.99937500000000001</v>
      </c>
    </row>
    <row r="59" spans="1:10" ht="25.5" x14ac:dyDescent="0.2">
      <c r="A59" s="959" t="s">
        <v>1035</v>
      </c>
      <c r="B59" s="949" t="s">
        <v>1034</v>
      </c>
      <c r="C59" s="31" t="s">
        <v>308</v>
      </c>
      <c r="D59" s="31" t="s">
        <v>873</v>
      </c>
      <c r="E59" s="31" t="s">
        <v>360</v>
      </c>
      <c r="F59" s="32">
        <f>I59</f>
        <v>92620</v>
      </c>
      <c r="G59" s="32">
        <v>100000</v>
      </c>
      <c r="H59" s="33">
        <v>100000</v>
      </c>
      <c r="I59" s="988">
        <v>92620</v>
      </c>
      <c r="J59" s="936">
        <f t="shared" si="4"/>
        <v>1</v>
      </c>
    </row>
    <row r="60" spans="1:10" ht="25.5" x14ac:dyDescent="0.2">
      <c r="A60" s="959" t="s">
        <v>1037</v>
      </c>
      <c r="B60" s="949" t="s">
        <v>1036</v>
      </c>
      <c r="C60" s="31" t="s">
        <v>308</v>
      </c>
      <c r="D60" s="31" t="s">
        <v>315</v>
      </c>
      <c r="E60" s="31" t="s">
        <v>360</v>
      </c>
      <c r="F60" s="32">
        <v>30000</v>
      </c>
      <c r="G60" s="32">
        <v>30000</v>
      </c>
      <c r="H60" s="33">
        <v>27999.99</v>
      </c>
      <c r="I60" s="988">
        <v>0</v>
      </c>
      <c r="J60" s="936">
        <f t="shared" si="4"/>
        <v>0.93333300000000008</v>
      </c>
    </row>
    <row r="61" spans="1:10" x14ac:dyDescent="0.2">
      <c r="A61" s="959" t="s">
        <v>1039</v>
      </c>
      <c r="B61" s="960" t="s">
        <v>1038</v>
      </c>
      <c r="C61" s="58" t="s">
        <v>317</v>
      </c>
      <c r="D61" s="58" t="s">
        <v>319</v>
      </c>
      <c r="E61" s="58" t="s">
        <v>395</v>
      </c>
      <c r="F61" s="59">
        <v>5265</v>
      </c>
      <c r="G61" s="59">
        <v>5265</v>
      </c>
      <c r="H61" s="931">
        <v>5265</v>
      </c>
      <c r="I61" s="992">
        <v>5265</v>
      </c>
      <c r="J61" s="936">
        <f t="shared" si="4"/>
        <v>1</v>
      </c>
    </row>
    <row r="62" spans="1:10" x14ac:dyDescent="0.2">
      <c r="A62" s="959" t="s">
        <v>1041</v>
      </c>
      <c r="B62" s="953" t="s">
        <v>1040</v>
      </c>
      <c r="C62" s="42" t="s">
        <v>317</v>
      </c>
      <c r="D62" s="42" t="s">
        <v>319</v>
      </c>
      <c r="E62" s="42" t="s">
        <v>360</v>
      </c>
      <c r="F62" s="43">
        <v>20000</v>
      </c>
      <c r="G62" s="43">
        <v>20000</v>
      </c>
      <c r="H62" s="928">
        <v>20000</v>
      </c>
      <c r="I62" s="991">
        <v>0</v>
      </c>
      <c r="J62" s="936">
        <f t="shared" si="4"/>
        <v>1</v>
      </c>
    </row>
    <row r="63" spans="1:10" ht="38.25" x14ac:dyDescent="0.2">
      <c r="A63" s="961" t="s">
        <v>1043</v>
      </c>
      <c r="B63" s="962" t="s">
        <v>1042</v>
      </c>
      <c r="C63" s="60" t="s">
        <v>317</v>
      </c>
      <c r="D63" s="60" t="s">
        <v>901</v>
      </c>
      <c r="E63" s="60"/>
      <c r="F63" s="35">
        <f>F65+F66+F64</f>
        <v>8131891.9399999995</v>
      </c>
      <c r="G63" s="35">
        <f>G65+G66+G64</f>
        <v>102765.38</v>
      </c>
      <c r="H63" s="924">
        <f>H65+H66+H64</f>
        <v>102285.87</v>
      </c>
      <c r="I63" s="989">
        <v>0</v>
      </c>
      <c r="J63" s="937">
        <f t="shared" si="4"/>
        <v>0.99533393444368123</v>
      </c>
    </row>
    <row r="64" spans="1:10" x14ac:dyDescent="0.2">
      <c r="A64" s="956"/>
      <c r="B64" s="962"/>
      <c r="C64" s="60"/>
      <c r="D64" s="60"/>
      <c r="E64" s="61" t="s">
        <v>360</v>
      </c>
      <c r="F64" s="37">
        <f>I64</f>
        <v>0</v>
      </c>
      <c r="G64" s="37">
        <v>102765.38</v>
      </c>
      <c r="H64" s="925">
        <v>102285.87</v>
      </c>
      <c r="I64" s="994">
        <v>0</v>
      </c>
      <c r="J64" s="974"/>
    </row>
    <row r="65" spans="1:10" x14ac:dyDescent="0.2">
      <c r="A65" s="963"/>
      <c r="B65" s="964"/>
      <c r="C65" s="61"/>
      <c r="D65" s="61"/>
      <c r="E65" s="61" t="s">
        <v>905</v>
      </c>
      <c r="F65" s="37">
        <v>6827100</v>
      </c>
      <c r="G65" s="37">
        <v>0</v>
      </c>
      <c r="H65" s="925">
        <v>0</v>
      </c>
      <c r="I65" s="994">
        <v>0</v>
      </c>
      <c r="J65" s="974"/>
    </row>
    <row r="66" spans="1:10" x14ac:dyDescent="0.2">
      <c r="A66" s="965"/>
      <c r="B66" s="966"/>
      <c r="C66" s="62"/>
      <c r="D66" s="62"/>
      <c r="E66" s="62" t="s">
        <v>906</v>
      </c>
      <c r="F66" s="57">
        <v>1304791.94</v>
      </c>
      <c r="G66" s="57">
        <v>0</v>
      </c>
      <c r="H66" s="63">
        <v>0</v>
      </c>
      <c r="I66" s="995">
        <v>0</v>
      </c>
      <c r="J66" s="973"/>
    </row>
    <row r="67" spans="1:10" ht="25.5" x14ac:dyDescent="0.2">
      <c r="A67" s="961" t="s">
        <v>1047</v>
      </c>
      <c r="B67" s="967" t="s">
        <v>1044</v>
      </c>
      <c r="C67" s="50" t="s">
        <v>321</v>
      </c>
      <c r="D67" s="50" t="s">
        <v>323</v>
      </c>
      <c r="E67" s="50"/>
      <c r="F67" s="51">
        <f>I67</f>
        <v>348348.95999999996</v>
      </c>
      <c r="G67" s="51">
        <f>G68+G69+G70</f>
        <v>348348.95999999996</v>
      </c>
      <c r="H67" s="992">
        <f>SUM(H69:H70)</f>
        <v>348348.95999999996</v>
      </c>
      <c r="I67" s="992">
        <f>SUM(I69:I70)</f>
        <v>348348.95999999996</v>
      </c>
      <c r="J67" s="937">
        <f>H67/G67</f>
        <v>1</v>
      </c>
    </row>
    <row r="68" spans="1:10" x14ac:dyDescent="0.2">
      <c r="A68" s="956"/>
      <c r="B68" s="968"/>
      <c r="C68" s="40"/>
      <c r="D68" s="40"/>
      <c r="E68" s="996" t="s">
        <v>360</v>
      </c>
      <c r="F68" s="997">
        <v>348348.96</v>
      </c>
      <c r="G68" s="997">
        <v>0</v>
      </c>
      <c r="H68" s="990">
        <v>0</v>
      </c>
      <c r="I68" s="990">
        <v>0</v>
      </c>
      <c r="J68" s="939">
        <v>0</v>
      </c>
    </row>
    <row r="69" spans="1:10" x14ac:dyDescent="0.2">
      <c r="A69" s="956"/>
      <c r="B69" s="969" t="s">
        <v>1045</v>
      </c>
      <c r="C69" s="40"/>
      <c r="D69" s="40"/>
      <c r="E69" s="996" t="s">
        <v>925</v>
      </c>
      <c r="F69" s="997"/>
      <c r="G69" s="997">
        <v>90478</v>
      </c>
      <c r="H69" s="990">
        <v>90478</v>
      </c>
      <c r="I69" s="990">
        <v>90478</v>
      </c>
      <c r="J69" s="939">
        <f>H69/G69</f>
        <v>1</v>
      </c>
    </row>
    <row r="70" spans="1:10" x14ac:dyDescent="0.2">
      <c r="A70" s="959"/>
      <c r="B70" s="970" t="s">
        <v>1046</v>
      </c>
      <c r="C70" s="38"/>
      <c r="D70" s="38"/>
      <c r="E70" s="998" t="s">
        <v>906</v>
      </c>
      <c r="F70" s="999"/>
      <c r="G70" s="999">
        <v>257870.96</v>
      </c>
      <c r="H70" s="993">
        <v>257870.96</v>
      </c>
      <c r="I70" s="993">
        <v>257870.96</v>
      </c>
      <c r="J70" s="939">
        <f>H70/G70</f>
        <v>1</v>
      </c>
    </row>
    <row r="71" spans="1:10" ht="25.5" x14ac:dyDescent="0.2">
      <c r="A71" s="961" t="s">
        <v>1049</v>
      </c>
      <c r="B71" s="960" t="s">
        <v>1048</v>
      </c>
      <c r="C71" s="58" t="s">
        <v>321</v>
      </c>
      <c r="D71" s="58" t="s">
        <v>323</v>
      </c>
      <c r="E71" s="58"/>
      <c r="F71" s="59">
        <f>F72+F73+F74</f>
        <v>0</v>
      </c>
      <c r="G71" s="59">
        <f>G72+G73+G74</f>
        <v>162886.34</v>
      </c>
      <c r="H71" s="931">
        <f>H72+H73+H74</f>
        <v>162875.37</v>
      </c>
      <c r="I71" s="992">
        <v>0</v>
      </c>
      <c r="J71" s="937">
        <f>H71/G71</f>
        <v>0.99993265242499774</v>
      </c>
    </row>
    <row r="72" spans="1:10" x14ac:dyDescent="0.2">
      <c r="A72" s="956"/>
      <c r="B72" s="968"/>
      <c r="C72" s="64"/>
      <c r="D72" s="64"/>
      <c r="E72" s="65" t="s">
        <v>360</v>
      </c>
      <c r="F72" s="66">
        <f t="shared" ref="F72:F76" si="5">I72</f>
        <v>0</v>
      </c>
      <c r="G72" s="66">
        <v>0</v>
      </c>
      <c r="H72" s="932"/>
      <c r="I72" s="994">
        <v>0</v>
      </c>
      <c r="J72" s="974">
        <v>0</v>
      </c>
    </row>
    <row r="73" spans="1:10" x14ac:dyDescent="0.2">
      <c r="A73" s="956"/>
      <c r="B73" s="969" t="s">
        <v>1045</v>
      </c>
      <c r="C73" s="64"/>
      <c r="D73" s="64"/>
      <c r="E73" s="65" t="s">
        <v>925</v>
      </c>
      <c r="F73" s="66">
        <f t="shared" si="5"/>
        <v>0</v>
      </c>
      <c r="G73" s="66">
        <v>81315</v>
      </c>
      <c r="H73" s="932">
        <v>81315</v>
      </c>
      <c r="I73" s="994">
        <v>0</v>
      </c>
      <c r="J73" s="974">
        <v>0</v>
      </c>
    </row>
    <row r="74" spans="1:10" x14ac:dyDescent="0.2">
      <c r="A74" s="959"/>
      <c r="B74" s="970" t="s">
        <v>1046</v>
      </c>
      <c r="C74" s="38"/>
      <c r="D74" s="38"/>
      <c r="E74" s="67" t="s">
        <v>906</v>
      </c>
      <c r="F74" s="68">
        <f t="shared" si="5"/>
        <v>0</v>
      </c>
      <c r="G74" s="68">
        <v>81571.34</v>
      </c>
      <c r="H74" s="933">
        <v>81560.37</v>
      </c>
      <c r="I74" s="995">
        <v>0</v>
      </c>
      <c r="J74" s="973">
        <v>0</v>
      </c>
    </row>
    <row r="75" spans="1:10" ht="25.5" x14ac:dyDescent="0.2">
      <c r="A75" s="940" t="s">
        <v>1051</v>
      </c>
      <c r="B75" s="971" t="s">
        <v>1050</v>
      </c>
      <c r="C75" s="69" t="s">
        <v>321</v>
      </c>
      <c r="D75" s="69" t="s">
        <v>323</v>
      </c>
      <c r="E75" s="69" t="s">
        <v>360</v>
      </c>
      <c r="F75" s="32">
        <f t="shared" si="5"/>
        <v>0</v>
      </c>
      <c r="G75" s="32">
        <v>70000</v>
      </c>
      <c r="H75" s="33">
        <v>69683.240000000005</v>
      </c>
      <c r="I75" s="988">
        <v>0</v>
      </c>
      <c r="J75" s="936">
        <f>H75/G75</f>
        <v>0.99547485714285722</v>
      </c>
    </row>
    <row r="76" spans="1:10" ht="38.25" x14ac:dyDescent="0.2">
      <c r="A76" s="961" t="s">
        <v>1053</v>
      </c>
      <c r="B76" s="952" t="s">
        <v>1052</v>
      </c>
      <c r="C76" s="38" t="s">
        <v>321</v>
      </c>
      <c r="D76" s="38" t="s">
        <v>323</v>
      </c>
      <c r="E76" s="38" t="s">
        <v>360</v>
      </c>
      <c r="F76" s="39">
        <f t="shared" si="5"/>
        <v>12283.44</v>
      </c>
      <c r="G76" s="39">
        <v>145812.24</v>
      </c>
      <c r="H76" s="47">
        <v>145812.24</v>
      </c>
      <c r="I76" s="988">
        <v>12283.44</v>
      </c>
      <c r="J76" s="936">
        <f>H76/G76</f>
        <v>1</v>
      </c>
    </row>
    <row r="77" spans="1:10" ht="38.25" x14ac:dyDescent="0.2">
      <c r="A77" s="940" t="s">
        <v>1054</v>
      </c>
      <c r="B77" s="972" t="s">
        <v>1421</v>
      </c>
      <c r="C77" s="42" t="s">
        <v>321</v>
      </c>
      <c r="D77" s="42" t="s">
        <v>323</v>
      </c>
      <c r="E77" s="42" t="s">
        <v>360</v>
      </c>
      <c r="F77" s="43">
        <v>32606.59</v>
      </c>
      <c r="G77" s="43">
        <v>27000</v>
      </c>
      <c r="H77" s="928">
        <v>26872.17</v>
      </c>
      <c r="I77" s="991">
        <v>0</v>
      </c>
      <c r="J77" s="936">
        <f>H77/G77</f>
        <v>0.99526555555555551</v>
      </c>
    </row>
    <row r="78" spans="1:10" ht="39" thickBot="1" x14ac:dyDescent="0.25">
      <c r="A78" s="961" t="s">
        <v>1418</v>
      </c>
      <c r="B78" s="976" t="s">
        <v>1422</v>
      </c>
      <c r="C78" s="58" t="s">
        <v>321</v>
      </c>
      <c r="D78" s="58" t="s">
        <v>323</v>
      </c>
      <c r="E78" s="58" t="s">
        <v>395</v>
      </c>
      <c r="F78" s="59">
        <v>26500</v>
      </c>
      <c r="G78" s="59">
        <v>26500</v>
      </c>
      <c r="H78" s="931">
        <v>26477.27</v>
      </c>
      <c r="I78" s="992">
        <v>20000</v>
      </c>
      <c r="J78" s="936">
        <f>H78/G78</f>
        <v>0.99914226415094343</v>
      </c>
    </row>
    <row r="79" spans="1:10" ht="15.75" x14ac:dyDescent="0.2">
      <c r="A79" s="1862"/>
      <c r="B79" s="1863"/>
      <c r="C79" s="1863"/>
      <c r="D79" s="1863"/>
      <c r="E79" s="1863"/>
      <c r="F79" s="977" t="e">
        <f>F9+F10+F12+F13+F14+F15+F18+F19+F20+F21+F23+F28+F30+F31+F33+F34+F38+F39+F40+F42+F44+F45+F46+F50+F52+F56+F57+F58+F60+F63+F53+F67+F71+F75+F55+F54+F24+F27+F29+F59+F61+F36+F32+F37+F76+F22+F35+F25+F26+F41+F11+F51+F77+F78+F62+F43+F8+F47</f>
        <v>#REF!</v>
      </c>
      <c r="G79" s="977">
        <f>G9+G10+G12+G13+G14+G15+G18+G19+G20+G21+G23+G28+G30+G31+G33+G34+G38+G39+G40+G42+G44+G45+G46+G50+G52+G56+G57+G58+G60+G63+G53+G67+G71+G75+G55+G54+G24+G27+G29+G59+G61+G36+G32+G37+G76+G22+G35+G25+G26+G41+G11+G51+G77+G78+G62+G43+G8+G47</f>
        <v>4807319.1899999995</v>
      </c>
      <c r="H79" s="1007">
        <f>H9+H10+H12+H13+H14+H15+H18+H19+H20+H21+H23+H28+H30+H31+H33+H34+H38+H39+H40+H42+H44+H45+H46+H50+H52+H56+H57+H58+H60+H63+H53+H67+H71+H75+H55+H54+H24+H27+H29+H59+H61+H36+H32+H37+H76+H22+H35+H25+H26+H41+H11+H51+H77+H78+H62+H43+H8+H47</f>
        <v>4633434.9699999988</v>
      </c>
      <c r="I79" s="1006">
        <f>I9+I10+I12+I13+I14+I15+I18+I19+I20+I21+I23+I28+I30+I31+I33+I34+I38+I39+I40+I42+I44+I45+I46+I50+I52+I56+I57+I58+I60+I63+I53+I67+I71+I75+I55+I54+I24+I27+I29+I59+I61+I36+I32+I37+I76+I22+I35+I25+I26+I41+I11+I51+I77+I78+I62+I43+I8+I47</f>
        <v>1025065.9999999999</v>
      </c>
      <c r="J79" s="978">
        <f>H79/G79</f>
        <v>0.9638292750850187</v>
      </c>
    </row>
    <row r="80" spans="1:10" x14ac:dyDescent="0.2">
      <c r="A80" s="12"/>
      <c r="B80" s="12"/>
      <c r="C80" s="1864" t="s">
        <v>1252</v>
      </c>
      <c r="D80" s="1865"/>
      <c r="E80" s="1865"/>
      <c r="F80" s="12"/>
      <c r="G80" s="70"/>
      <c r="H80" s="70"/>
      <c r="I80" s="70"/>
      <c r="J80" s="70"/>
    </row>
    <row r="81" spans="1:10" ht="27" customHeight="1" x14ac:dyDescent="0.2">
      <c r="A81" s="12"/>
      <c r="B81" s="71"/>
      <c r="C81" s="1859" t="s">
        <v>1424</v>
      </c>
      <c r="D81" s="1859"/>
      <c r="E81" s="1859"/>
      <c r="F81" s="1010"/>
      <c r="G81" s="1010">
        <f>G15+G36+G57+G63+G77</f>
        <v>847138.97</v>
      </c>
      <c r="H81" s="1010">
        <f t="shared" ref="H81:I81" si="6">H15+H36+H57+H63+H77</f>
        <v>844951.38000000012</v>
      </c>
      <c r="I81" s="1010">
        <f t="shared" si="6"/>
        <v>0</v>
      </c>
      <c r="J81" s="1011">
        <f>H81/G81</f>
        <v>0.9974176728052071</v>
      </c>
    </row>
    <row r="82" spans="1:10" x14ac:dyDescent="0.2">
      <c r="A82" s="12"/>
      <c r="B82" s="71"/>
      <c r="C82" s="1859" t="s">
        <v>1523</v>
      </c>
      <c r="D82" s="1859"/>
      <c r="E82" s="1859"/>
      <c r="F82" s="1010"/>
      <c r="G82" s="1010">
        <f>G9+G12+G13+G14+G18+G19+G20+G21+G22+G23+G24+G25+G26+G27+G28+G29+G30+G31+G32+G33+G34+G35+G37+G38+G39+G42+G43+G44+G45+G46+G47+G51+G53+G58+G59+G60+G61+G62+G67+G71+G75+G76+G78</f>
        <v>3274280.2199999997</v>
      </c>
      <c r="H82" s="1010">
        <f>H9+H12+H13+H14+H18+H19+H20+H21+H22+H23+H24+H25+H26+H27+H28+H29+H30+H31+H32+H33+H34+H35+H37+H38+H39+H42+H43+H44+H45+H46+H47+H51+H53+H58+H59+H60+H61+H62+H67+H71+H75+H76+H78</f>
        <v>3165702.9600000004</v>
      </c>
      <c r="I82" s="1010">
        <f t="shared" ref="I82" si="7">I9+I12+I13+I14+I18+I19+I20+I21+I22+I23+I24+I25+I26+I27+I28+I29+I30+I31+I32+I33+I34+I35+I37+I38+I39+I40+I42+I43+I44+I45+I46+I47+I51+I53+I58+I59+I60+I61+I62+I67+I71+I75+I76+I78</f>
        <v>1025066</v>
      </c>
      <c r="J82" s="1011">
        <f>H82/G82</f>
        <v>0.9668393501152448</v>
      </c>
    </row>
    <row r="83" spans="1:10" ht="24.75" customHeight="1" x14ac:dyDescent="0.2">
      <c r="A83" s="12"/>
      <c r="B83" s="71"/>
      <c r="C83" s="1859" t="s">
        <v>1425</v>
      </c>
      <c r="D83" s="1859"/>
      <c r="E83" s="1859"/>
      <c r="F83" s="1010"/>
      <c r="G83" s="1010">
        <f>G8</f>
        <v>300000</v>
      </c>
      <c r="H83" s="1010">
        <f t="shared" ref="H83:I83" si="8">H8</f>
        <v>300000</v>
      </c>
      <c r="I83" s="1010">
        <f t="shared" si="8"/>
        <v>0</v>
      </c>
      <c r="J83" s="1011">
        <f>H83/G83</f>
        <v>1</v>
      </c>
    </row>
    <row r="84" spans="1:10" ht="21.75" customHeight="1" x14ac:dyDescent="0.2">
      <c r="A84" s="12"/>
      <c r="B84" s="71"/>
      <c r="C84" s="1859" t="s">
        <v>1423</v>
      </c>
      <c r="D84" s="1859"/>
      <c r="E84" s="1859"/>
      <c r="F84" s="1010"/>
      <c r="G84" s="1010">
        <f>G56+G55+G54+G52+G50+G41+G40+G11+G10</f>
        <v>385900</v>
      </c>
      <c r="H84" s="1010">
        <f t="shared" ref="H84:I84" si="9">H56+H55+H54+H52+H50+H41+H40+H11+H10</f>
        <v>322780.63</v>
      </c>
      <c r="I84" s="1010">
        <f t="shared" si="9"/>
        <v>0</v>
      </c>
      <c r="J84" s="1011">
        <f>H84/G84</f>
        <v>0.83643594195387405</v>
      </c>
    </row>
    <row r="85" spans="1:10" x14ac:dyDescent="0.2">
      <c r="A85" s="12"/>
      <c r="B85" s="71"/>
      <c r="C85" s="1008"/>
      <c r="D85" s="1008"/>
      <c r="E85" s="1008"/>
      <c r="F85" s="70"/>
      <c r="G85" s="70"/>
      <c r="H85" s="70"/>
      <c r="I85" s="70"/>
      <c r="J85" s="70"/>
    </row>
    <row r="86" spans="1:10" x14ac:dyDescent="0.2">
      <c r="A86" s="12"/>
      <c r="B86" s="72"/>
      <c r="C86" s="1009"/>
      <c r="D86" s="1009"/>
      <c r="E86" s="1009"/>
      <c r="F86" s="70"/>
      <c r="G86" s="70"/>
      <c r="H86" s="70"/>
      <c r="I86" s="70"/>
      <c r="J86" s="70"/>
    </row>
  </sheetData>
  <mergeCells count="19">
    <mergeCell ref="H1:J1"/>
    <mergeCell ref="A3:J3"/>
    <mergeCell ref="H5:H6"/>
    <mergeCell ref="J5:J6"/>
    <mergeCell ref="C81:E81"/>
    <mergeCell ref="C7:E7"/>
    <mergeCell ref="A15:A17"/>
    <mergeCell ref="A5:A6"/>
    <mergeCell ref="B5:B6"/>
    <mergeCell ref="C5:C6"/>
    <mergeCell ref="D5:D6"/>
    <mergeCell ref="E5:E6"/>
    <mergeCell ref="G5:G6"/>
    <mergeCell ref="C82:E82"/>
    <mergeCell ref="C84:E84"/>
    <mergeCell ref="C83:E83"/>
    <mergeCell ref="B48:B49"/>
    <mergeCell ref="A79:E79"/>
    <mergeCell ref="C80:E80"/>
  </mergeCells>
  <pageMargins left="0.51181102362204722" right="0" top="0.74803149606299213" bottom="0.55118110236220474" header="0.11811023622047245" footer="0.11811023622047245"/>
  <pageSetup paperSize="9" orientation="landscape" r:id="rId1"/>
  <headerFooter>
    <oddFooter>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9"/>
  <sheetViews>
    <sheetView topLeftCell="E1" workbookViewId="0">
      <selection activeCell="M1" sqref="M1:BC1048576"/>
    </sheetView>
  </sheetViews>
  <sheetFormatPr defaultRowHeight="11.25" x14ac:dyDescent="0.2"/>
  <cols>
    <col min="1" max="1" width="5.140625" style="74" customWidth="1"/>
    <col min="2" max="2" width="8.5703125" style="74" customWidth="1"/>
    <col min="3" max="3" width="5.85546875" style="74" customWidth="1"/>
    <col min="4" max="4" width="35.28515625" style="74" customWidth="1"/>
    <col min="5" max="6" width="12.5703125" style="74" customWidth="1"/>
    <col min="7" max="7" width="8.85546875" style="74" customWidth="1"/>
    <col min="8" max="9" width="12.7109375" style="74" customWidth="1"/>
    <col min="10" max="10" width="9" style="74" customWidth="1"/>
    <col min="11" max="11" width="9.42578125" style="74" customWidth="1"/>
    <col min="12" max="16384" width="9.140625" style="74"/>
  </cols>
  <sheetData>
    <row r="1" spans="1:12" ht="12.75" x14ac:dyDescent="0.2">
      <c r="A1" s="272"/>
      <c r="B1" s="272"/>
      <c r="C1" s="272"/>
      <c r="D1" s="272"/>
      <c r="G1" s="1895" t="s">
        <v>1436</v>
      </c>
      <c r="H1" s="1895"/>
      <c r="I1" s="1895"/>
      <c r="J1" s="1895"/>
      <c r="K1" s="1895"/>
      <c r="L1" s="1895"/>
    </row>
    <row r="2" spans="1:12" ht="6.75" customHeight="1" x14ac:dyDescent="0.2">
      <c r="A2" s="272"/>
      <c r="B2" s="272"/>
      <c r="C2" s="272"/>
      <c r="D2" s="272"/>
      <c r="F2" s="273"/>
      <c r="G2" s="1866"/>
      <c r="H2" s="1866"/>
      <c r="I2" s="1866"/>
      <c r="J2" s="1866"/>
    </row>
    <row r="3" spans="1:12" ht="36.75" customHeight="1" x14ac:dyDescent="0.2">
      <c r="A3" s="1924" t="s">
        <v>1435</v>
      </c>
      <c r="B3" s="1924"/>
      <c r="C3" s="1924"/>
      <c r="D3" s="1924"/>
      <c r="E3" s="1924"/>
      <c r="F3" s="1924"/>
      <c r="G3" s="1924"/>
      <c r="H3" s="1924"/>
      <c r="I3" s="1924"/>
      <c r="J3" s="1924"/>
      <c r="K3" s="1924"/>
      <c r="L3" s="1924"/>
    </row>
    <row r="4" spans="1:12" ht="22.5" customHeight="1" thickBot="1" x14ac:dyDescent="0.25">
      <c r="A4" s="1913" t="s">
        <v>1097</v>
      </c>
      <c r="B4" s="1913"/>
      <c r="C4" s="1913"/>
      <c r="D4" s="1913"/>
      <c r="E4" s="1913"/>
      <c r="F4" s="1913"/>
      <c r="G4" s="1913"/>
      <c r="H4" s="1914"/>
      <c r="I4" s="1914"/>
      <c r="J4" s="1914"/>
    </row>
    <row r="5" spans="1:12" ht="12.75" x14ac:dyDescent="0.2">
      <c r="A5" s="1920" t="s">
        <v>0</v>
      </c>
      <c r="B5" s="1920" t="s">
        <v>1</v>
      </c>
      <c r="C5" s="1920" t="s">
        <v>1056</v>
      </c>
      <c r="D5" s="1920" t="s">
        <v>1098</v>
      </c>
      <c r="E5" s="1927" t="s">
        <v>1099</v>
      </c>
      <c r="F5" s="1903"/>
      <c r="G5" s="1928"/>
      <c r="H5" s="1902" t="s">
        <v>1100</v>
      </c>
      <c r="I5" s="1903"/>
      <c r="J5" s="1904"/>
      <c r="K5" s="1905" t="s">
        <v>1405</v>
      </c>
      <c r="L5" s="1907" t="s">
        <v>1410</v>
      </c>
    </row>
    <row r="6" spans="1:12" ht="33.75" customHeight="1" thickBot="1" x14ac:dyDescent="0.25">
      <c r="A6" s="1921"/>
      <c r="B6" s="1921"/>
      <c r="C6" s="1921"/>
      <c r="D6" s="1921"/>
      <c r="E6" s="683" t="s">
        <v>1404</v>
      </c>
      <c r="F6" s="276" t="s">
        <v>1362</v>
      </c>
      <c r="G6" s="877" t="s">
        <v>1357</v>
      </c>
      <c r="H6" s="846" t="s">
        <v>1404</v>
      </c>
      <c r="I6" s="276" t="s">
        <v>1362</v>
      </c>
      <c r="J6" s="878" t="s">
        <v>1357</v>
      </c>
      <c r="K6" s="1906"/>
      <c r="L6" s="1908"/>
    </row>
    <row r="7" spans="1:12" ht="15.75" x14ac:dyDescent="0.2">
      <c r="A7" s="1671" t="s">
        <v>5</v>
      </c>
      <c r="B7" s="1647"/>
      <c r="C7" s="1647"/>
      <c r="D7" s="1649" t="s">
        <v>6</v>
      </c>
      <c r="E7" s="1659">
        <f>E8</f>
        <v>844965.74</v>
      </c>
      <c r="F7" s="1661">
        <f>F8</f>
        <v>844965.74</v>
      </c>
      <c r="G7" s="1660">
        <f>F7/E7</f>
        <v>1</v>
      </c>
      <c r="H7" s="1661">
        <f>H8</f>
        <v>844965.74</v>
      </c>
      <c r="I7" s="1661">
        <f>I8</f>
        <v>844965.74</v>
      </c>
      <c r="J7" s="1662">
        <f>I7/H7</f>
        <v>1</v>
      </c>
      <c r="K7" s="1661"/>
      <c r="L7" s="1661"/>
    </row>
    <row r="8" spans="1:12" ht="15.75" x14ac:dyDescent="0.2">
      <c r="A8" s="1340"/>
      <c r="B8" s="278" t="s">
        <v>13</v>
      </c>
      <c r="C8" s="279"/>
      <c r="D8" s="280" t="s">
        <v>14</v>
      </c>
      <c r="E8" s="281">
        <f>E9</f>
        <v>844965.74</v>
      </c>
      <c r="F8" s="282">
        <f>F9</f>
        <v>844965.74</v>
      </c>
      <c r="G8" s="863">
        <f>F8/E8</f>
        <v>1</v>
      </c>
      <c r="H8" s="282">
        <f>SUM(H10:H15)</f>
        <v>844965.74</v>
      </c>
      <c r="I8" s="282">
        <f>SUM(I10:I15)</f>
        <v>844965.74</v>
      </c>
      <c r="J8" s="847">
        <f>I8/H8</f>
        <v>1</v>
      </c>
      <c r="K8" s="282">
        <f>K9</f>
        <v>0</v>
      </c>
      <c r="L8" s="282"/>
    </row>
    <row r="9" spans="1:12" ht="48" x14ac:dyDescent="0.2">
      <c r="A9" s="1341"/>
      <c r="B9" s="1340"/>
      <c r="C9" s="283">
        <v>2010</v>
      </c>
      <c r="D9" s="284" t="s">
        <v>1101</v>
      </c>
      <c r="E9" s="285">
        <v>844965.74</v>
      </c>
      <c r="F9" s="286">
        <v>844965.74</v>
      </c>
      <c r="G9" s="862">
        <f>F9/E9</f>
        <v>1</v>
      </c>
      <c r="H9" s="286"/>
      <c r="I9" s="286"/>
      <c r="J9" s="848"/>
      <c r="K9" s="881">
        <v>0</v>
      </c>
      <c r="L9" s="882"/>
    </row>
    <row r="10" spans="1:12" ht="15.75" x14ac:dyDescent="0.2">
      <c r="A10" s="1341"/>
      <c r="B10" s="1341"/>
      <c r="C10" s="283">
        <v>4010</v>
      </c>
      <c r="D10" s="284" t="s">
        <v>343</v>
      </c>
      <c r="E10" s="287"/>
      <c r="F10" s="288"/>
      <c r="G10" s="861"/>
      <c r="H10" s="288">
        <v>7723.36</v>
      </c>
      <c r="I10" s="288">
        <v>7723.36</v>
      </c>
      <c r="J10" s="848">
        <f>I10/H10</f>
        <v>1</v>
      </c>
      <c r="K10" s="881"/>
      <c r="L10" s="882"/>
    </row>
    <row r="11" spans="1:12" ht="15.75" x14ac:dyDescent="0.2">
      <c r="A11" s="1341"/>
      <c r="B11" s="1341"/>
      <c r="C11" s="283">
        <v>4110</v>
      </c>
      <c r="D11" s="284" t="s">
        <v>346</v>
      </c>
      <c r="E11" s="287"/>
      <c r="F11" s="288"/>
      <c r="G11" s="861"/>
      <c r="H11" s="289">
        <v>1327.65</v>
      </c>
      <c r="I11" s="289">
        <v>1327.65</v>
      </c>
      <c r="J11" s="848">
        <f t="shared" ref="J11:J15" si="0">I11/H11</f>
        <v>1</v>
      </c>
      <c r="K11" s="881"/>
      <c r="L11" s="882"/>
    </row>
    <row r="12" spans="1:12" ht="15.75" x14ac:dyDescent="0.2">
      <c r="A12" s="1341"/>
      <c r="B12" s="1341"/>
      <c r="C12" s="283">
        <v>4120</v>
      </c>
      <c r="D12" s="284" t="s">
        <v>349</v>
      </c>
      <c r="E12" s="287"/>
      <c r="F12" s="288"/>
      <c r="G12" s="861"/>
      <c r="H12" s="289">
        <v>186.48</v>
      </c>
      <c r="I12" s="289">
        <v>186.48</v>
      </c>
      <c r="J12" s="848">
        <f t="shared" si="0"/>
        <v>1</v>
      </c>
      <c r="K12" s="881"/>
      <c r="L12" s="882"/>
    </row>
    <row r="13" spans="1:12" ht="15.75" x14ac:dyDescent="0.2">
      <c r="A13" s="1341"/>
      <c r="B13" s="291"/>
      <c r="C13" s="283">
        <v>4210</v>
      </c>
      <c r="D13" s="292" t="s">
        <v>352</v>
      </c>
      <c r="E13" s="287"/>
      <c r="F13" s="288"/>
      <c r="G13" s="861"/>
      <c r="H13" s="289">
        <v>4093.47</v>
      </c>
      <c r="I13" s="289">
        <v>4093.47</v>
      </c>
      <c r="J13" s="848">
        <f t="shared" si="0"/>
        <v>1</v>
      </c>
      <c r="K13" s="881"/>
      <c r="L13" s="882"/>
    </row>
    <row r="14" spans="1:12" ht="15.75" x14ac:dyDescent="0.2">
      <c r="A14" s="1341"/>
      <c r="B14" s="291"/>
      <c r="C14" s="283">
        <v>4300</v>
      </c>
      <c r="D14" s="293" t="s">
        <v>355</v>
      </c>
      <c r="E14" s="287"/>
      <c r="F14" s="288"/>
      <c r="G14" s="861"/>
      <c r="H14" s="289">
        <v>3237</v>
      </c>
      <c r="I14" s="289">
        <v>3237</v>
      </c>
      <c r="J14" s="848">
        <f t="shared" si="0"/>
        <v>1</v>
      </c>
      <c r="K14" s="881"/>
      <c r="L14" s="882"/>
    </row>
    <row r="15" spans="1:12" ht="15.75" x14ac:dyDescent="0.2">
      <c r="A15" s="1581"/>
      <c r="B15" s="1663"/>
      <c r="C15" s="336">
        <v>4430</v>
      </c>
      <c r="D15" s="1664" t="s">
        <v>358</v>
      </c>
      <c r="E15" s="1665"/>
      <c r="F15" s="1666"/>
      <c r="G15" s="1667"/>
      <c r="H15" s="1666">
        <v>828397.78</v>
      </c>
      <c r="I15" s="1666">
        <v>828397.78</v>
      </c>
      <c r="J15" s="1668">
        <f t="shared" si="0"/>
        <v>1</v>
      </c>
      <c r="K15" s="1669"/>
      <c r="L15" s="1670"/>
    </row>
    <row r="16" spans="1:12" ht="15.75" x14ac:dyDescent="0.2">
      <c r="A16" s="351">
        <v>750</v>
      </c>
      <c r="B16" s="1647"/>
      <c r="C16" s="1647"/>
      <c r="D16" s="1649" t="s">
        <v>70</v>
      </c>
      <c r="E16" s="1659">
        <f>E17</f>
        <v>198574</v>
      </c>
      <c r="F16" s="1659">
        <f>F17</f>
        <v>198574</v>
      </c>
      <c r="G16" s="1660">
        <f>F16/E16</f>
        <v>1</v>
      </c>
      <c r="H16" s="1661">
        <f>H17</f>
        <v>198574</v>
      </c>
      <c r="I16" s="1661">
        <f t="shared" ref="I16" si="1">I17</f>
        <v>198574</v>
      </c>
      <c r="J16" s="1662">
        <f>I16/H16</f>
        <v>1</v>
      </c>
      <c r="K16" s="1661">
        <f>K17</f>
        <v>0</v>
      </c>
      <c r="L16" s="1661"/>
    </row>
    <row r="17" spans="1:12" ht="15.75" x14ac:dyDescent="0.2">
      <c r="A17" s="1340"/>
      <c r="B17" s="294">
        <v>75011</v>
      </c>
      <c r="C17" s="279"/>
      <c r="D17" s="280" t="s">
        <v>72</v>
      </c>
      <c r="E17" s="281">
        <f>E18</f>
        <v>198574</v>
      </c>
      <c r="F17" s="281">
        <f>F18</f>
        <v>198574</v>
      </c>
      <c r="G17" s="863">
        <f>F17/E17</f>
        <v>1</v>
      </c>
      <c r="H17" s="282">
        <f>SUM(H19:H24)</f>
        <v>198574</v>
      </c>
      <c r="I17" s="282">
        <f>SUM(I19:I24)</f>
        <v>198574</v>
      </c>
      <c r="J17" s="847">
        <f>I17/H17</f>
        <v>1</v>
      </c>
      <c r="K17" s="282">
        <f>K18</f>
        <v>0</v>
      </c>
      <c r="L17" s="282"/>
    </row>
    <row r="18" spans="1:12" ht="48" x14ac:dyDescent="0.2">
      <c r="A18" s="1341"/>
      <c r="B18" s="1340"/>
      <c r="C18" s="283">
        <v>2010</v>
      </c>
      <c r="D18" s="284" t="s">
        <v>1101</v>
      </c>
      <c r="E18" s="285">
        <v>198574</v>
      </c>
      <c r="F18" s="286">
        <v>198574</v>
      </c>
      <c r="G18" s="862">
        <f>F18/E18</f>
        <v>1</v>
      </c>
      <c r="H18" s="286"/>
      <c r="I18" s="286"/>
      <c r="J18" s="848"/>
      <c r="K18" s="881"/>
      <c r="L18" s="882"/>
    </row>
    <row r="19" spans="1:12" ht="15.75" x14ac:dyDescent="0.2">
      <c r="A19" s="1341"/>
      <c r="B19" s="1341"/>
      <c r="C19" s="283">
        <v>4010</v>
      </c>
      <c r="D19" s="284" t="s">
        <v>343</v>
      </c>
      <c r="E19" s="287"/>
      <c r="F19" s="288"/>
      <c r="G19" s="861"/>
      <c r="H19" s="286">
        <v>160978.75</v>
      </c>
      <c r="I19" s="286">
        <v>160978.75</v>
      </c>
      <c r="J19" s="848">
        <f>I19/H19</f>
        <v>1</v>
      </c>
      <c r="K19" s="881"/>
      <c r="L19" s="882"/>
    </row>
    <row r="20" spans="1:12" ht="15.75" x14ac:dyDescent="0.2">
      <c r="A20" s="1341"/>
      <c r="B20" s="1341"/>
      <c r="C20" s="283">
        <v>4110</v>
      </c>
      <c r="D20" s="284" t="s">
        <v>346</v>
      </c>
      <c r="E20" s="287"/>
      <c r="F20" s="288"/>
      <c r="G20" s="861"/>
      <c r="H20" s="286">
        <v>27672.26</v>
      </c>
      <c r="I20" s="286">
        <v>27672.26</v>
      </c>
      <c r="J20" s="848">
        <f t="shared" ref="J20:J24" si="2">I20/H20</f>
        <v>1</v>
      </c>
      <c r="K20" s="881"/>
      <c r="L20" s="882"/>
    </row>
    <row r="21" spans="1:12" ht="15.75" x14ac:dyDescent="0.2">
      <c r="A21" s="1341"/>
      <c r="B21" s="1341"/>
      <c r="C21" s="283">
        <v>4120</v>
      </c>
      <c r="D21" s="284" t="s">
        <v>349</v>
      </c>
      <c r="E21" s="287"/>
      <c r="F21" s="288"/>
      <c r="G21" s="861"/>
      <c r="H21" s="286">
        <v>3257.99</v>
      </c>
      <c r="I21" s="286">
        <v>3257.99</v>
      </c>
      <c r="J21" s="848">
        <f t="shared" si="2"/>
        <v>1</v>
      </c>
      <c r="K21" s="881"/>
      <c r="L21" s="882"/>
    </row>
    <row r="22" spans="1:12" ht="15.75" x14ac:dyDescent="0.2">
      <c r="A22" s="1341"/>
      <c r="B22" s="291"/>
      <c r="C22" s="283">
        <v>4210</v>
      </c>
      <c r="D22" s="293" t="s">
        <v>352</v>
      </c>
      <c r="E22" s="287"/>
      <c r="F22" s="288"/>
      <c r="G22" s="861"/>
      <c r="H22" s="295">
        <v>4798</v>
      </c>
      <c r="I22" s="295">
        <v>4798</v>
      </c>
      <c r="J22" s="848">
        <f t="shared" si="2"/>
        <v>1</v>
      </c>
      <c r="K22" s="881"/>
      <c r="L22" s="882"/>
    </row>
    <row r="23" spans="1:12" ht="15.75" x14ac:dyDescent="0.2">
      <c r="A23" s="1341"/>
      <c r="B23" s="291"/>
      <c r="C23" s="296">
        <v>4300</v>
      </c>
      <c r="D23" s="293" t="s">
        <v>355</v>
      </c>
      <c r="E23" s="287"/>
      <c r="F23" s="288"/>
      <c r="G23" s="861"/>
      <c r="H23" s="297">
        <v>0</v>
      </c>
      <c r="I23" s="297">
        <v>0</v>
      </c>
      <c r="J23" s="848">
        <v>0</v>
      </c>
      <c r="K23" s="881"/>
      <c r="L23" s="882"/>
    </row>
    <row r="24" spans="1:12" ht="24" x14ac:dyDescent="0.2">
      <c r="A24" s="1503"/>
      <c r="B24" s="1504"/>
      <c r="C24" s="283">
        <v>4700</v>
      </c>
      <c r="D24" s="293" t="s">
        <v>1102</v>
      </c>
      <c r="E24" s="1505"/>
      <c r="F24" s="286"/>
      <c r="G24" s="862"/>
      <c r="H24" s="289">
        <v>1867</v>
      </c>
      <c r="I24" s="289">
        <v>1867</v>
      </c>
      <c r="J24" s="848">
        <f t="shared" si="2"/>
        <v>1</v>
      </c>
      <c r="K24" s="881"/>
      <c r="L24" s="882"/>
    </row>
    <row r="25" spans="1:12" ht="25.5" x14ac:dyDescent="0.2">
      <c r="A25" s="351">
        <v>751</v>
      </c>
      <c r="B25" s="1647"/>
      <c r="C25" s="1647"/>
      <c r="D25" s="1649" t="s">
        <v>1103</v>
      </c>
      <c r="E25" s="911">
        <f>E26</f>
        <v>3491</v>
      </c>
      <c r="F25" s="911">
        <f>F26</f>
        <v>3491</v>
      </c>
      <c r="G25" s="1650">
        <f>F25/E25</f>
        <v>1</v>
      </c>
      <c r="H25" s="1651">
        <f>H26</f>
        <v>3491</v>
      </c>
      <c r="I25" s="1651">
        <f t="shared" ref="I25:K25" si="3">I26</f>
        <v>3491</v>
      </c>
      <c r="J25" s="1658">
        <f>I25/H25</f>
        <v>1</v>
      </c>
      <c r="K25" s="1651">
        <f t="shared" si="3"/>
        <v>0</v>
      </c>
      <c r="L25" s="1651"/>
    </row>
    <row r="26" spans="1:12" ht="25.5" x14ac:dyDescent="0.2">
      <c r="A26" s="1340"/>
      <c r="B26" s="299">
        <v>75101</v>
      </c>
      <c r="C26" s="316"/>
      <c r="D26" s="317" t="s">
        <v>1103</v>
      </c>
      <c r="E26" s="300">
        <f>E27</f>
        <v>3491</v>
      </c>
      <c r="F26" s="300">
        <f>F27</f>
        <v>3491</v>
      </c>
      <c r="G26" s="864">
        <f>F26/E26</f>
        <v>1</v>
      </c>
      <c r="H26" s="301">
        <f>H28+H29+H30</f>
        <v>3491</v>
      </c>
      <c r="I26" s="301">
        <f t="shared" ref="I26:K26" si="4">I28+I29+I30</f>
        <v>3491</v>
      </c>
      <c r="J26" s="855">
        <f>I26/H26</f>
        <v>1</v>
      </c>
      <c r="K26" s="301">
        <f t="shared" si="4"/>
        <v>0</v>
      </c>
      <c r="L26" s="301"/>
    </row>
    <row r="27" spans="1:12" ht="48" x14ac:dyDescent="0.2">
      <c r="A27" s="1341"/>
      <c r="B27" s="1340"/>
      <c r="C27" s="283">
        <v>2010</v>
      </c>
      <c r="D27" s="284" t="s">
        <v>1101</v>
      </c>
      <c r="E27" s="314">
        <v>3491</v>
      </c>
      <c r="F27" s="315">
        <v>3491</v>
      </c>
      <c r="G27" s="868">
        <f>F27/E27</f>
        <v>1</v>
      </c>
      <c r="H27" s="318"/>
      <c r="I27" s="315"/>
      <c r="J27" s="856"/>
      <c r="K27" s="881"/>
      <c r="L27" s="882"/>
    </row>
    <row r="28" spans="1:12" ht="15.75" x14ac:dyDescent="0.2">
      <c r="A28" s="1341"/>
      <c r="B28" s="1341"/>
      <c r="C28" s="283">
        <v>4010</v>
      </c>
      <c r="D28" s="284" t="s">
        <v>343</v>
      </c>
      <c r="E28" s="287"/>
      <c r="F28" s="288"/>
      <c r="G28" s="861"/>
      <c r="H28" s="286">
        <v>2947.71</v>
      </c>
      <c r="I28" s="286">
        <v>2947.71</v>
      </c>
      <c r="J28" s="848">
        <f>I28/H28</f>
        <v>1</v>
      </c>
      <c r="K28" s="881"/>
      <c r="L28" s="882"/>
    </row>
    <row r="29" spans="1:12" ht="15.75" x14ac:dyDescent="0.2">
      <c r="A29" s="1341"/>
      <c r="B29" s="1341"/>
      <c r="C29" s="283">
        <v>4110</v>
      </c>
      <c r="D29" s="284" t="s">
        <v>346</v>
      </c>
      <c r="E29" s="287"/>
      <c r="F29" s="288"/>
      <c r="G29" s="861"/>
      <c r="H29" s="286">
        <v>506.71</v>
      </c>
      <c r="I29" s="286">
        <v>506.71</v>
      </c>
      <c r="J29" s="848">
        <f t="shared" ref="J29:J30" si="5">I29/H29</f>
        <v>1</v>
      </c>
      <c r="K29" s="881"/>
      <c r="L29" s="882"/>
    </row>
    <row r="30" spans="1:12" ht="15.75" x14ac:dyDescent="0.2">
      <c r="A30" s="1341"/>
      <c r="B30" s="1341"/>
      <c r="C30" s="283">
        <v>4120</v>
      </c>
      <c r="D30" s="284" t="s">
        <v>349</v>
      </c>
      <c r="E30" s="285"/>
      <c r="F30" s="286"/>
      <c r="G30" s="862"/>
      <c r="H30" s="286">
        <v>36.58</v>
      </c>
      <c r="I30" s="286">
        <v>36.58</v>
      </c>
      <c r="J30" s="848">
        <f t="shared" si="5"/>
        <v>1</v>
      </c>
      <c r="K30" s="881"/>
      <c r="L30" s="882"/>
    </row>
    <row r="31" spans="1:12" ht="12.75" x14ac:dyDescent="0.2">
      <c r="A31" s="1652">
        <v>801</v>
      </c>
      <c r="B31" s="1652"/>
      <c r="C31" s="1652"/>
      <c r="D31" s="1653"/>
      <c r="E31" s="1654">
        <f>E32+E36+E41</f>
        <v>241873.63</v>
      </c>
      <c r="F31" s="1654">
        <f t="shared" ref="F31:I31" si="6">F32+F36+F41</f>
        <v>236667.98</v>
      </c>
      <c r="G31" s="1655">
        <f>F31/E31</f>
        <v>0.97847781091307884</v>
      </c>
      <c r="H31" s="1656">
        <f t="shared" si="6"/>
        <v>241873.63</v>
      </c>
      <c r="I31" s="1654">
        <f t="shared" si="6"/>
        <v>236667.98</v>
      </c>
      <c r="J31" s="1657">
        <f>I31/H31</f>
        <v>0.97847781091307884</v>
      </c>
      <c r="K31" s="1654">
        <f>K32+K36+K41</f>
        <v>5205.6499999999996</v>
      </c>
      <c r="L31" s="1654"/>
    </row>
    <row r="32" spans="1:12" ht="15.75" x14ac:dyDescent="0.2">
      <c r="A32" s="1341"/>
      <c r="B32" s="299">
        <v>80101</v>
      </c>
      <c r="C32" s="294"/>
      <c r="D32" s="280" t="s">
        <v>187</v>
      </c>
      <c r="E32" s="300">
        <f>E33</f>
        <v>193980.23</v>
      </c>
      <c r="F32" s="300">
        <f t="shared" ref="F32" si="7">F33</f>
        <v>191271.81</v>
      </c>
      <c r="G32" s="864">
        <f>F32/E32</f>
        <v>0.98603764930065285</v>
      </c>
      <c r="H32" s="301">
        <f>H34+H35</f>
        <v>193980.23</v>
      </c>
      <c r="I32" s="300">
        <f t="shared" ref="I32" si="8">I34+I35</f>
        <v>191271.81</v>
      </c>
      <c r="J32" s="851">
        <f>I32/H32</f>
        <v>0.98603764930065285</v>
      </c>
      <c r="K32" s="300">
        <f>K33</f>
        <v>2708.42</v>
      </c>
      <c r="L32" s="300"/>
    </row>
    <row r="33" spans="1:12" ht="48" x14ac:dyDescent="0.2">
      <c r="A33" s="1341"/>
      <c r="B33" s="302"/>
      <c r="C33" s="303">
        <v>2010</v>
      </c>
      <c r="D33" s="284" t="s">
        <v>1101</v>
      </c>
      <c r="E33" s="304">
        <v>193980.23</v>
      </c>
      <c r="F33" s="304">
        <v>191271.81</v>
      </c>
      <c r="G33" s="865">
        <f>F33/E33</f>
        <v>0.98603764930065285</v>
      </c>
      <c r="H33" s="305"/>
      <c r="I33" s="305"/>
      <c r="J33" s="852"/>
      <c r="K33" s="881">
        <v>2708.42</v>
      </c>
      <c r="L33" s="883" t="s">
        <v>1522</v>
      </c>
    </row>
    <row r="34" spans="1:12" ht="15.75" x14ac:dyDescent="0.2">
      <c r="A34" s="1341"/>
      <c r="B34" s="302"/>
      <c r="C34" s="303">
        <v>4210</v>
      </c>
      <c r="D34" s="293" t="s">
        <v>352</v>
      </c>
      <c r="E34" s="306"/>
      <c r="F34" s="307"/>
      <c r="G34" s="866"/>
      <c r="H34" s="305">
        <v>1920.56</v>
      </c>
      <c r="I34" s="305">
        <v>1893.76</v>
      </c>
      <c r="J34" s="852">
        <f>I34/H34</f>
        <v>0.98604573666014084</v>
      </c>
      <c r="K34" s="881"/>
      <c r="L34" s="882"/>
    </row>
    <row r="35" spans="1:12" ht="15.75" x14ac:dyDescent="0.2">
      <c r="A35" s="1341"/>
      <c r="B35" s="302"/>
      <c r="C35" s="302">
        <v>4240</v>
      </c>
      <c r="D35" s="308" t="s">
        <v>574</v>
      </c>
      <c r="E35" s="306"/>
      <c r="F35" s="307"/>
      <c r="G35" s="866"/>
      <c r="H35" s="305">
        <v>192059.67</v>
      </c>
      <c r="I35" s="305">
        <v>189378.05</v>
      </c>
      <c r="J35" s="852">
        <f>I35/H35</f>
        <v>0.98603756842860335</v>
      </c>
      <c r="K35" s="881"/>
      <c r="L35" s="882"/>
    </row>
    <row r="36" spans="1:12" ht="15.75" x14ac:dyDescent="0.2">
      <c r="A36" s="1341"/>
      <c r="B36" s="299">
        <v>80110</v>
      </c>
      <c r="C36" s="299"/>
      <c r="D36" s="309" t="s">
        <v>209</v>
      </c>
      <c r="E36" s="300">
        <f>E37</f>
        <v>43748.62</v>
      </c>
      <c r="F36" s="300">
        <f t="shared" ref="F36" si="9">F37</f>
        <v>41926.75</v>
      </c>
      <c r="G36" s="864">
        <f>F36/E36</f>
        <v>0.95835594357033427</v>
      </c>
      <c r="H36" s="301">
        <f>H38+H39+H40</f>
        <v>43748.62</v>
      </c>
      <c r="I36" s="300">
        <f t="shared" ref="I36" si="10">I38+I39+I40</f>
        <v>41926.75</v>
      </c>
      <c r="J36" s="851">
        <f>I36/H36</f>
        <v>0.95835594357033427</v>
      </c>
      <c r="K36" s="300">
        <f>K37</f>
        <v>1821.87</v>
      </c>
      <c r="L36" s="300"/>
    </row>
    <row r="37" spans="1:12" ht="48" x14ac:dyDescent="0.2">
      <c r="A37" s="1341"/>
      <c r="B37" s="302"/>
      <c r="C37" s="303">
        <v>2010</v>
      </c>
      <c r="D37" s="284" t="s">
        <v>1101</v>
      </c>
      <c r="E37" s="304">
        <v>43748.62</v>
      </c>
      <c r="F37" s="304">
        <v>41926.75</v>
      </c>
      <c r="G37" s="865">
        <f>F37/E37</f>
        <v>0.95835594357033427</v>
      </c>
      <c r="H37" s="307"/>
      <c r="I37" s="307"/>
      <c r="J37" s="853"/>
      <c r="K37" s="881">
        <v>1821.87</v>
      </c>
      <c r="L37" s="882" t="s">
        <v>1406</v>
      </c>
    </row>
    <row r="38" spans="1:12" ht="36" x14ac:dyDescent="0.2">
      <c r="A38" s="1341"/>
      <c r="B38" s="302"/>
      <c r="C38" s="303">
        <v>2820</v>
      </c>
      <c r="D38" s="310" t="s">
        <v>527</v>
      </c>
      <c r="E38" s="311"/>
      <c r="F38" s="311"/>
      <c r="G38" s="867"/>
      <c r="H38" s="305">
        <v>15271.83</v>
      </c>
      <c r="I38" s="305">
        <v>15251.08</v>
      </c>
      <c r="J38" s="852">
        <f>I38/H38</f>
        <v>0.99864128922336093</v>
      </c>
      <c r="K38" s="881"/>
      <c r="L38" s="882"/>
    </row>
    <row r="39" spans="1:12" ht="15.75" x14ac:dyDescent="0.2">
      <c r="A39" s="1341"/>
      <c r="B39" s="302"/>
      <c r="C39" s="303">
        <v>4210</v>
      </c>
      <c r="D39" s="293" t="s">
        <v>352</v>
      </c>
      <c r="E39" s="306"/>
      <c r="F39" s="307"/>
      <c r="G39" s="866"/>
      <c r="H39" s="305">
        <v>433.14</v>
      </c>
      <c r="I39" s="305">
        <v>415.11</v>
      </c>
      <c r="J39" s="852">
        <f>I39/H39</f>
        <v>0.95837373597451181</v>
      </c>
      <c r="K39" s="881"/>
      <c r="L39" s="882"/>
    </row>
    <row r="40" spans="1:12" ht="15.75" x14ac:dyDescent="0.2">
      <c r="A40" s="1341"/>
      <c r="B40" s="1563"/>
      <c r="C40" s="1563">
        <v>4240</v>
      </c>
      <c r="D40" s="313" t="s">
        <v>574</v>
      </c>
      <c r="E40" s="1564"/>
      <c r="F40" s="315"/>
      <c r="G40" s="868"/>
      <c r="H40" s="1565">
        <v>28043.65</v>
      </c>
      <c r="I40" s="1565">
        <v>26260.560000000001</v>
      </c>
      <c r="J40" s="1566">
        <f>I40/H40</f>
        <v>0.93641733511864544</v>
      </c>
      <c r="K40" s="881"/>
      <c r="L40" s="882"/>
    </row>
    <row r="41" spans="1:12" ht="89.25" x14ac:dyDescent="0.2">
      <c r="A41" s="1341"/>
      <c r="B41" s="1559">
        <v>80150</v>
      </c>
      <c r="C41" s="1559"/>
      <c r="D41" s="1560" t="s">
        <v>217</v>
      </c>
      <c r="E41" s="1561">
        <f>E42</f>
        <v>4144.78</v>
      </c>
      <c r="F41" s="1561">
        <f t="shared" ref="F41" si="11">F42</f>
        <v>3469.42</v>
      </c>
      <c r="G41" s="863">
        <f>F41/E41</f>
        <v>0.83705769666906338</v>
      </c>
      <c r="H41" s="282">
        <f>H43+H44</f>
        <v>4144.78</v>
      </c>
      <c r="I41" s="1561">
        <f t="shared" ref="I41" si="12">I43+I44</f>
        <v>3469.42</v>
      </c>
      <c r="J41" s="1562">
        <f>I41/H41</f>
        <v>0.83705769666906338</v>
      </c>
      <c r="K41" s="1561">
        <f>K42</f>
        <v>675.36</v>
      </c>
      <c r="L41" s="1561"/>
    </row>
    <row r="42" spans="1:12" ht="48" x14ac:dyDescent="0.2">
      <c r="A42" s="1341"/>
      <c r="B42" s="302"/>
      <c r="C42" s="303">
        <v>2010</v>
      </c>
      <c r="D42" s="284" t="s">
        <v>1101</v>
      </c>
      <c r="E42" s="304">
        <v>4144.78</v>
      </c>
      <c r="F42" s="304">
        <v>3469.42</v>
      </c>
      <c r="G42" s="865">
        <f>F42/E42</f>
        <v>0.83705769666906338</v>
      </c>
      <c r="H42" s="307"/>
      <c r="I42" s="307"/>
      <c r="J42" s="853"/>
      <c r="K42" s="881">
        <v>675.36</v>
      </c>
      <c r="L42" s="883" t="s">
        <v>1407</v>
      </c>
    </row>
    <row r="43" spans="1:12" ht="15.75" x14ac:dyDescent="0.2">
      <c r="A43" s="1341"/>
      <c r="B43" s="302"/>
      <c r="C43" s="303">
        <v>4210</v>
      </c>
      <c r="D43" s="293" t="s">
        <v>352</v>
      </c>
      <c r="E43" s="306"/>
      <c r="F43" s="307"/>
      <c r="G43" s="866"/>
      <c r="H43" s="304">
        <v>41.03</v>
      </c>
      <c r="I43" s="304">
        <v>34.36</v>
      </c>
      <c r="J43" s="854">
        <f>I43/H43</f>
        <v>0.83743602242261761</v>
      </c>
      <c r="K43" s="881"/>
      <c r="L43" s="882"/>
    </row>
    <row r="44" spans="1:12" ht="15.75" x14ac:dyDescent="0.2">
      <c r="A44" s="1341"/>
      <c r="B44" s="302"/>
      <c r="C44" s="312">
        <v>4240</v>
      </c>
      <c r="D44" s="313" t="s">
        <v>574</v>
      </c>
      <c r="E44" s="306"/>
      <c r="F44" s="307"/>
      <c r="G44" s="866"/>
      <c r="H44" s="305">
        <v>4103.75</v>
      </c>
      <c r="I44" s="305">
        <v>3435.06</v>
      </c>
      <c r="J44" s="854">
        <f>I44/H44</f>
        <v>0.8370539141029546</v>
      </c>
      <c r="K44" s="1506"/>
      <c r="L44" s="882"/>
    </row>
    <row r="45" spans="1:12" ht="15.75" x14ac:dyDescent="0.2">
      <c r="A45" s="351">
        <v>852</v>
      </c>
      <c r="B45" s="1647"/>
      <c r="C45" s="1648"/>
      <c r="D45" s="1649" t="s">
        <v>235</v>
      </c>
      <c r="E45" s="911">
        <f>E46+E53+E49+E56</f>
        <v>528557</v>
      </c>
      <c r="F45" s="911">
        <f>F46+F53+F49+F56</f>
        <v>519463.17</v>
      </c>
      <c r="G45" s="1650">
        <f>F45/E45</f>
        <v>0.98279498710640478</v>
      </c>
      <c r="H45" s="1651">
        <f>H46+H53+H49+H56</f>
        <v>528557</v>
      </c>
      <c r="I45" s="911">
        <f>I46+I53+I49+I56</f>
        <v>519463.17</v>
      </c>
      <c r="J45" s="918">
        <f>I45/H45</f>
        <v>0.98279498710640478</v>
      </c>
      <c r="K45" s="911">
        <f>K49+K46+K53+K56</f>
        <v>5210.83</v>
      </c>
      <c r="L45" s="911"/>
    </row>
    <row r="46" spans="1:12" ht="76.5" x14ac:dyDescent="0.2">
      <c r="A46" s="1341"/>
      <c r="B46" s="299">
        <v>85213</v>
      </c>
      <c r="C46" s="326"/>
      <c r="D46" s="309" t="s">
        <v>1104</v>
      </c>
      <c r="E46" s="327">
        <f>E47</f>
        <v>58683</v>
      </c>
      <c r="F46" s="327">
        <f t="shared" ref="F46" si="13">F47</f>
        <v>56885.3</v>
      </c>
      <c r="G46" s="871">
        <f>F46/E46</f>
        <v>0.96936591517134441</v>
      </c>
      <c r="H46" s="328">
        <f>H48</f>
        <v>58683</v>
      </c>
      <c r="I46" s="327">
        <f t="shared" ref="I46" si="14">I48</f>
        <v>56885.3</v>
      </c>
      <c r="J46" s="858">
        <f>I46/H46</f>
        <v>0.96936591517134441</v>
      </c>
      <c r="K46" s="327">
        <f>K47</f>
        <v>1114.7</v>
      </c>
      <c r="L46" s="327"/>
    </row>
    <row r="47" spans="1:12" ht="48" x14ac:dyDescent="0.2">
      <c r="A47" s="1341"/>
      <c r="B47" s="1925"/>
      <c r="C47" s="283">
        <v>2010</v>
      </c>
      <c r="D47" s="284" t="s">
        <v>1101</v>
      </c>
      <c r="E47" s="285">
        <v>58683</v>
      </c>
      <c r="F47" s="286">
        <v>56885.3</v>
      </c>
      <c r="G47" s="862">
        <f>F47/E47</f>
        <v>0.96936591517134441</v>
      </c>
      <c r="H47" s="286"/>
      <c r="I47" s="286"/>
      <c r="J47" s="848"/>
      <c r="K47" s="881">
        <v>1114.7</v>
      </c>
      <c r="L47" s="882" t="s">
        <v>1408</v>
      </c>
    </row>
    <row r="48" spans="1:12" ht="15.75" x14ac:dyDescent="0.2">
      <c r="A48" s="1341"/>
      <c r="B48" s="1926"/>
      <c r="C48" s="283">
        <v>4130</v>
      </c>
      <c r="D48" s="293" t="s">
        <v>743</v>
      </c>
      <c r="E48" s="285"/>
      <c r="F48" s="286"/>
      <c r="G48" s="862"/>
      <c r="H48" s="286">
        <v>58683</v>
      </c>
      <c r="I48" s="286">
        <v>56885.3</v>
      </c>
      <c r="J48" s="848">
        <f>I48/H48</f>
        <v>0.96936591517134441</v>
      </c>
      <c r="K48" s="881"/>
      <c r="L48" s="882"/>
    </row>
    <row r="49" spans="1:12" ht="15.75" x14ac:dyDescent="0.2">
      <c r="A49" s="1341"/>
      <c r="B49" s="319">
        <v>85215</v>
      </c>
      <c r="C49" s="320"/>
      <c r="D49" s="321" t="s">
        <v>250</v>
      </c>
      <c r="E49" s="322">
        <f>E50</f>
        <v>17500</v>
      </c>
      <c r="F49" s="323">
        <f>F50</f>
        <v>13547.87</v>
      </c>
      <c r="G49" s="869">
        <f>F49/E49</f>
        <v>0.77416400000000007</v>
      </c>
      <c r="H49" s="323">
        <f>H51+H52</f>
        <v>17500</v>
      </c>
      <c r="I49" s="323">
        <f t="shared" ref="I49" si="15">I51+I52</f>
        <v>13547.869999999999</v>
      </c>
      <c r="J49" s="857">
        <f>I49/H49</f>
        <v>0.77416399999999996</v>
      </c>
      <c r="K49" s="323">
        <f>K50</f>
        <v>752.13</v>
      </c>
      <c r="L49" s="323"/>
    </row>
    <row r="50" spans="1:12" ht="48" x14ac:dyDescent="0.2">
      <c r="A50" s="1341"/>
      <c r="B50" s="1885"/>
      <c r="C50" s="283">
        <v>2010</v>
      </c>
      <c r="D50" s="284" t="s">
        <v>1101</v>
      </c>
      <c r="E50" s="285">
        <v>17500</v>
      </c>
      <c r="F50" s="286">
        <v>13547.87</v>
      </c>
      <c r="G50" s="862">
        <f>F50/E50</f>
        <v>0.77416400000000007</v>
      </c>
      <c r="H50" s="286"/>
      <c r="I50" s="286"/>
      <c r="J50" s="848"/>
      <c r="K50" s="881">
        <v>752.13</v>
      </c>
      <c r="L50" s="882" t="s">
        <v>1409</v>
      </c>
    </row>
    <row r="51" spans="1:12" ht="15.75" x14ac:dyDescent="0.2">
      <c r="A51" s="1341"/>
      <c r="B51" s="1886"/>
      <c r="C51" s="283">
        <v>3110</v>
      </c>
      <c r="D51" s="284" t="s">
        <v>747</v>
      </c>
      <c r="E51" s="324"/>
      <c r="F51" s="297"/>
      <c r="G51" s="870"/>
      <c r="H51" s="286">
        <v>17156.86</v>
      </c>
      <c r="I51" s="286">
        <v>13282.23</v>
      </c>
      <c r="J51" s="848">
        <f>I51/H51</f>
        <v>0.77416438672344468</v>
      </c>
      <c r="K51" s="881"/>
      <c r="L51" s="882"/>
    </row>
    <row r="52" spans="1:12" ht="15.75" x14ac:dyDescent="0.2">
      <c r="A52" s="1341"/>
      <c r="B52" s="1342"/>
      <c r="C52" s="283">
        <v>4210</v>
      </c>
      <c r="D52" s="284" t="s">
        <v>352</v>
      </c>
      <c r="E52" s="285"/>
      <c r="F52" s="286"/>
      <c r="G52" s="862"/>
      <c r="H52" s="286">
        <v>343.14</v>
      </c>
      <c r="I52" s="286">
        <v>265.64</v>
      </c>
      <c r="J52" s="848">
        <f>I52/H52</f>
        <v>0.77414466398554527</v>
      </c>
      <c r="K52" s="881"/>
      <c r="L52" s="882"/>
    </row>
    <row r="53" spans="1:12" ht="25.5" x14ac:dyDescent="0.2">
      <c r="A53" s="1341"/>
      <c r="B53" s="299">
        <v>85228</v>
      </c>
      <c r="C53" s="316"/>
      <c r="D53" s="329" t="s">
        <v>260</v>
      </c>
      <c r="E53" s="300">
        <f>E54</f>
        <v>422374</v>
      </c>
      <c r="F53" s="300">
        <f t="shared" ref="F53" si="16">F54</f>
        <v>419030</v>
      </c>
      <c r="G53" s="864">
        <f>F53/E53</f>
        <v>0.99208284600851382</v>
      </c>
      <c r="H53" s="301">
        <f>SUM(H55:H55)</f>
        <v>422374</v>
      </c>
      <c r="I53" s="301">
        <f t="shared" ref="I53" si="17">SUM(I55:I55)</f>
        <v>419030</v>
      </c>
      <c r="J53" s="855">
        <f>I53/H53</f>
        <v>0.99208284600851382</v>
      </c>
      <c r="K53" s="301">
        <f>K54</f>
        <v>3344</v>
      </c>
      <c r="L53" s="301"/>
    </row>
    <row r="54" spans="1:12" ht="48" x14ac:dyDescent="0.2">
      <c r="A54" s="1341"/>
      <c r="B54" s="1340"/>
      <c r="C54" s="283">
        <v>2010</v>
      </c>
      <c r="D54" s="284" t="s">
        <v>1101</v>
      </c>
      <c r="E54" s="285">
        <v>422374</v>
      </c>
      <c r="F54" s="286">
        <v>419030</v>
      </c>
      <c r="G54" s="862">
        <f>F54/E54</f>
        <v>0.99208284600851382</v>
      </c>
      <c r="H54" s="286"/>
      <c r="I54" s="286"/>
      <c r="J54" s="848"/>
      <c r="K54" s="881">
        <v>3344</v>
      </c>
      <c r="L54" s="882" t="s">
        <v>1408</v>
      </c>
    </row>
    <row r="55" spans="1:12" ht="15.75" x14ac:dyDescent="0.2">
      <c r="A55" s="1341"/>
      <c r="B55" s="1342"/>
      <c r="C55" s="283">
        <v>4300</v>
      </c>
      <c r="D55" s="284" t="s">
        <v>355</v>
      </c>
      <c r="E55" s="285"/>
      <c r="F55" s="286"/>
      <c r="G55" s="872"/>
      <c r="H55" s="286">
        <v>422374</v>
      </c>
      <c r="I55" s="286">
        <v>419030</v>
      </c>
      <c r="J55" s="848">
        <f>I55/H55</f>
        <v>0.99208284600851382</v>
      </c>
      <c r="K55" s="881"/>
      <c r="L55" s="882"/>
    </row>
    <row r="56" spans="1:12" ht="15.75" x14ac:dyDescent="0.2">
      <c r="A56" s="1341"/>
      <c r="B56" s="299">
        <v>85278</v>
      </c>
      <c r="C56" s="316"/>
      <c r="D56" s="329" t="s">
        <v>270</v>
      </c>
      <c r="E56" s="300">
        <f>E57</f>
        <v>30000</v>
      </c>
      <c r="F56" s="300">
        <f t="shared" ref="F56" si="18">F57</f>
        <v>30000</v>
      </c>
      <c r="G56" s="864">
        <f>F56/E56</f>
        <v>1</v>
      </c>
      <c r="H56" s="301">
        <f>SUM(H58:H58)</f>
        <v>30000</v>
      </c>
      <c r="I56" s="301">
        <f t="shared" ref="I56:K56" si="19">SUM(I58:I58)</f>
        <v>30000</v>
      </c>
      <c r="J56" s="855">
        <f>I56/H56</f>
        <v>1</v>
      </c>
      <c r="K56" s="301">
        <f t="shared" si="19"/>
        <v>0</v>
      </c>
      <c r="L56" s="882"/>
    </row>
    <row r="57" spans="1:12" ht="48" x14ac:dyDescent="0.2">
      <c r="A57" s="1341"/>
      <c r="B57" s="1340"/>
      <c r="C57" s="283">
        <v>2010</v>
      </c>
      <c r="D57" s="284" t="s">
        <v>1101</v>
      </c>
      <c r="E57" s="285">
        <v>30000</v>
      </c>
      <c r="F57" s="286">
        <v>30000</v>
      </c>
      <c r="G57" s="862">
        <f>F57/E57</f>
        <v>1</v>
      </c>
      <c r="H57" s="286"/>
      <c r="I57" s="286"/>
      <c r="J57" s="848"/>
      <c r="K57" s="881"/>
      <c r="L57" s="882"/>
    </row>
    <row r="58" spans="1:12" ht="15.75" x14ac:dyDescent="0.2">
      <c r="A58" s="1342"/>
      <c r="B58" s="1342"/>
      <c r="C58" s="283">
        <v>3110</v>
      </c>
      <c r="D58" s="284" t="s">
        <v>747</v>
      </c>
      <c r="E58" s="285"/>
      <c r="F58" s="286"/>
      <c r="G58" s="872"/>
      <c r="H58" s="286">
        <v>30000</v>
      </c>
      <c r="I58" s="286">
        <v>30000</v>
      </c>
      <c r="J58" s="848">
        <f>I58/H58</f>
        <v>1</v>
      </c>
      <c r="K58" s="881"/>
      <c r="L58" s="882"/>
    </row>
    <row r="59" spans="1:12" ht="15.75" x14ac:dyDescent="0.2">
      <c r="A59" s="351">
        <v>855</v>
      </c>
      <c r="B59" s="1647"/>
      <c r="C59" s="1648"/>
      <c r="D59" s="1649" t="s">
        <v>285</v>
      </c>
      <c r="E59" s="911">
        <f t="shared" ref="E59:K59" si="20">E60+E74+E87+E92</f>
        <v>22706891</v>
      </c>
      <c r="F59" s="911">
        <f t="shared" si="20"/>
        <v>22345846.779999997</v>
      </c>
      <c r="G59" s="1650">
        <f>F59/E59</f>
        <v>0.98409979507982825</v>
      </c>
      <c r="H59" s="1651">
        <f t="shared" si="20"/>
        <v>22706891</v>
      </c>
      <c r="I59" s="911">
        <f t="shared" si="20"/>
        <v>22345846.779999997</v>
      </c>
      <c r="J59" s="918">
        <f>I59/H59</f>
        <v>0.98409979507982825</v>
      </c>
      <c r="K59" s="911">
        <f t="shared" si="20"/>
        <v>42959.1</v>
      </c>
      <c r="L59" s="911"/>
    </row>
    <row r="60" spans="1:12" ht="15.75" x14ac:dyDescent="0.2">
      <c r="A60" s="1915"/>
      <c r="B60" s="294">
        <v>85501</v>
      </c>
      <c r="C60" s="279"/>
      <c r="D60" s="309" t="s">
        <v>1105</v>
      </c>
      <c r="E60" s="281">
        <f>E61</f>
        <v>14930000</v>
      </c>
      <c r="F60" s="282">
        <f>F61</f>
        <v>14617040.9</v>
      </c>
      <c r="G60" s="863">
        <f>F60/E60</f>
        <v>0.97903823844608173</v>
      </c>
      <c r="H60" s="330">
        <f>SUM(H62:H73)</f>
        <v>14930000</v>
      </c>
      <c r="I60" s="330">
        <f t="shared" ref="I60" si="21">SUM(I62:I73)</f>
        <v>14617040.9</v>
      </c>
      <c r="J60" s="859">
        <f>I60/H60</f>
        <v>0.97903823844608173</v>
      </c>
      <c r="K60" s="330">
        <f>K61</f>
        <v>42959.1</v>
      </c>
      <c r="L60" s="330"/>
    </row>
    <row r="61" spans="1:12" ht="84" x14ac:dyDescent="0.2">
      <c r="A61" s="1916"/>
      <c r="B61" s="1917"/>
      <c r="C61" s="1567">
        <v>2060</v>
      </c>
      <c r="D61" s="293" t="s">
        <v>1106</v>
      </c>
      <c r="E61" s="1568">
        <v>14930000</v>
      </c>
      <c r="F61" s="1569">
        <v>14617040.9</v>
      </c>
      <c r="G61" s="1570">
        <f>F61/E61</f>
        <v>0.97903823844608173</v>
      </c>
      <c r="H61" s="1571"/>
      <c r="I61" s="1569"/>
      <c r="J61" s="1572"/>
      <c r="K61" s="881">
        <v>42959.1</v>
      </c>
      <c r="L61" s="882" t="s">
        <v>1408</v>
      </c>
    </row>
    <row r="62" spans="1:12" ht="12.75" x14ac:dyDescent="0.2">
      <c r="A62" s="1916"/>
      <c r="B62" s="1918"/>
      <c r="C62" s="283">
        <v>3110</v>
      </c>
      <c r="D62" s="284" t="s">
        <v>747</v>
      </c>
      <c r="E62" s="333"/>
      <c r="F62" s="334"/>
      <c r="G62" s="873"/>
      <c r="H62" s="331">
        <v>14723732</v>
      </c>
      <c r="I62" s="331">
        <v>14419659.060000001</v>
      </c>
      <c r="J62" s="860">
        <f>I62/H62</f>
        <v>0.97934810685225737</v>
      </c>
      <c r="K62" s="881"/>
      <c r="L62" s="882"/>
    </row>
    <row r="63" spans="1:12" ht="12.75" x14ac:dyDescent="0.2">
      <c r="A63" s="1916"/>
      <c r="B63" s="1918"/>
      <c r="C63" s="283">
        <v>4010</v>
      </c>
      <c r="D63" s="284" t="s">
        <v>343</v>
      </c>
      <c r="E63" s="333"/>
      <c r="F63" s="334"/>
      <c r="G63" s="873"/>
      <c r="H63" s="331">
        <v>112000</v>
      </c>
      <c r="I63" s="331">
        <v>103134.77</v>
      </c>
      <c r="J63" s="860">
        <f t="shared" ref="J63:J73" si="22">I63/H63</f>
        <v>0.92084616071428571</v>
      </c>
      <c r="K63" s="881"/>
      <c r="L63" s="882"/>
    </row>
    <row r="64" spans="1:12" ht="12.75" x14ac:dyDescent="0.2">
      <c r="A64" s="1916"/>
      <c r="B64" s="1918"/>
      <c r="C64" s="283">
        <v>4040</v>
      </c>
      <c r="D64" s="284" t="s">
        <v>1107</v>
      </c>
      <c r="E64" s="333"/>
      <c r="F64" s="334"/>
      <c r="G64" s="873"/>
      <c r="H64" s="331">
        <v>6000</v>
      </c>
      <c r="I64" s="331">
        <v>6000</v>
      </c>
      <c r="J64" s="860">
        <f t="shared" si="22"/>
        <v>1</v>
      </c>
      <c r="K64" s="881"/>
      <c r="L64" s="882"/>
    </row>
    <row r="65" spans="1:12" ht="12.75" x14ac:dyDescent="0.2">
      <c r="A65" s="1916"/>
      <c r="B65" s="1918"/>
      <c r="C65" s="283">
        <v>4110</v>
      </c>
      <c r="D65" s="284" t="s">
        <v>346</v>
      </c>
      <c r="E65" s="333"/>
      <c r="F65" s="334"/>
      <c r="G65" s="873"/>
      <c r="H65" s="331">
        <v>20000</v>
      </c>
      <c r="I65" s="331">
        <v>20000</v>
      </c>
      <c r="J65" s="860">
        <f t="shared" si="22"/>
        <v>1</v>
      </c>
      <c r="K65" s="881"/>
      <c r="L65" s="882"/>
    </row>
    <row r="66" spans="1:12" ht="12.75" x14ac:dyDescent="0.2">
      <c r="A66" s="1916"/>
      <c r="B66" s="1918"/>
      <c r="C66" s="296">
        <v>4120</v>
      </c>
      <c r="D66" s="335" t="s">
        <v>349</v>
      </c>
      <c r="E66" s="333"/>
      <c r="F66" s="334"/>
      <c r="G66" s="873"/>
      <c r="H66" s="331">
        <v>2190</v>
      </c>
      <c r="I66" s="331">
        <v>2190</v>
      </c>
      <c r="J66" s="860">
        <f t="shared" si="22"/>
        <v>1</v>
      </c>
      <c r="K66" s="881"/>
      <c r="L66" s="882"/>
    </row>
    <row r="67" spans="1:12" ht="12.75" x14ac:dyDescent="0.2">
      <c r="A67" s="1916"/>
      <c r="B67" s="1918"/>
      <c r="C67" s="283">
        <v>4170</v>
      </c>
      <c r="D67" s="284" t="s">
        <v>364</v>
      </c>
      <c r="E67" s="333"/>
      <c r="F67" s="334"/>
      <c r="G67" s="873"/>
      <c r="H67" s="331">
        <v>4000</v>
      </c>
      <c r="I67" s="331">
        <v>4000</v>
      </c>
      <c r="J67" s="860">
        <f t="shared" si="22"/>
        <v>1</v>
      </c>
      <c r="K67" s="881"/>
      <c r="L67" s="882"/>
    </row>
    <row r="68" spans="1:12" ht="12.75" x14ac:dyDescent="0.2">
      <c r="A68" s="1916"/>
      <c r="B68" s="1918"/>
      <c r="C68" s="283">
        <v>4210</v>
      </c>
      <c r="D68" s="284" t="s">
        <v>352</v>
      </c>
      <c r="E68" s="333"/>
      <c r="F68" s="334"/>
      <c r="G68" s="873"/>
      <c r="H68" s="331">
        <v>20000</v>
      </c>
      <c r="I68" s="331">
        <v>20000</v>
      </c>
      <c r="J68" s="860">
        <f t="shared" si="22"/>
        <v>1</v>
      </c>
      <c r="K68" s="881"/>
      <c r="L68" s="882"/>
    </row>
    <row r="69" spans="1:12" ht="12.75" x14ac:dyDescent="0.2">
      <c r="A69" s="1916"/>
      <c r="B69" s="1918"/>
      <c r="C69" s="283">
        <v>4260</v>
      </c>
      <c r="D69" s="284" t="s">
        <v>368</v>
      </c>
      <c r="E69" s="333"/>
      <c r="F69" s="334"/>
      <c r="G69" s="873"/>
      <c r="H69" s="331">
        <v>1602</v>
      </c>
      <c r="I69" s="331">
        <v>1602</v>
      </c>
      <c r="J69" s="860">
        <f t="shared" si="22"/>
        <v>1</v>
      </c>
      <c r="K69" s="881"/>
      <c r="L69" s="882"/>
    </row>
    <row r="70" spans="1:12" ht="12.75" x14ac:dyDescent="0.2">
      <c r="A70" s="1916"/>
      <c r="B70" s="1918"/>
      <c r="C70" s="283">
        <v>4300</v>
      </c>
      <c r="D70" s="284" t="s">
        <v>355</v>
      </c>
      <c r="E70" s="333"/>
      <c r="F70" s="334"/>
      <c r="G70" s="873"/>
      <c r="H70" s="331">
        <v>35000</v>
      </c>
      <c r="I70" s="331">
        <v>35000</v>
      </c>
      <c r="J70" s="860">
        <f t="shared" si="22"/>
        <v>1</v>
      </c>
      <c r="K70" s="881"/>
      <c r="L70" s="882"/>
    </row>
    <row r="71" spans="1:12" ht="24" x14ac:dyDescent="0.2">
      <c r="A71" s="1916"/>
      <c r="B71" s="1918"/>
      <c r="C71" s="283">
        <v>4360</v>
      </c>
      <c r="D71" s="284" t="s">
        <v>1108</v>
      </c>
      <c r="E71" s="333"/>
      <c r="F71" s="334"/>
      <c r="G71" s="873"/>
      <c r="H71" s="331">
        <v>1000</v>
      </c>
      <c r="I71" s="331">
        <v>1000</v>
      </c>
      <c r="J71" s="860">
        <f t="shared" si="22"/>
        <v>1</v>
      </c>
      <c r="K71" s="881"/>
      <c r="L71" s="882"/>
    </row>
    <row r="72" spans="1:12" ht="24" x14ac:dyDescent="0.2">
      <c r="A72" s="1916"/>
      <c r="B72" s="1918"/>
      <c r="C72" s="283">
        <v>4440</v>
      </c>
      <c r="D72" s="284" t="s">
        <v>490</v>
      </c>
      <c r="E72" s="333"/>
      <c r="F72" s="334"/>
      <c r="G72" s="873"/>
      <c r="H72" s="331">
        <v>1876</v>
      </c>
      <c r="I72" s="331">
        <v>1876</v>
      </c>
      <c r="J72" s="860">
        <f t="shared" si="22"/>
        <v>1</v>
      </c>
      <c r="K72" s="881"/>
      <c r="L72" s="882"/>
    </row>
    <row r="73" spans="1:12" ht="24" x14ac:dyDescent="0.2">
      <c r="A73" s="1916"/>
      <c r="B73" s="1919"/>
      <c r="C73" s="336">
        <v>4700</v>
      </c>
      <c r="D73" s="293" t="s">
        <v>1102</v>
      </c>
      <c r="E73" s="1573"/>
      <c r="F73" s="332"/>
      <c r="G73" s="874"/>
      <c r="H73" s="331">
        <v>2600</v>
      </c>
      <c r="I73" s="331">
        <v>2579.0700000000002</v>
      </c>
      <c r="J73" s="860">
        <f t="shared" si="22"/>
        <v>0.99195000000000011</v>
      </c>
      <c r="K73" s="881"/>
      <c r="L73" s="882"/>
    </row>
    <row r="74" spans="1:12" ht="51" x14ac:dyDescent="0.2">
      <c r="A74" s="1916"/>
      <c r="B74" s="294">
        <v>85502</v>
      </c>
      <c r="C74" s="279"/>
      <c r="D74" s="280" t="s">
        <v>1109</v>
      </c>
      <c r="E74" s="337">
        <f>SUM(E75:E75)</f>
        <v>7776564</v>
      </c>
      <c r="F74" s="337">
        <f t="shared" ref="F74" si="23">SUM(F75:F75)</f>
        <v>7728495</v>
      </c>
      <c r="G74" s="875">
        <f>F74/E74</f>
        <v>0.99381873536950249</v>
      </c>
      <c r="H74" s="282">
        <f>SUM(H76:H86)</f>
        <v>7776564</v>
      </c>
      <c r="I74" s="282">
        <f>SUM(I76:I86)</f>
        <v>7728494.9999999991</v>
      </c>
      <c r="J74" s="847">
        <f>I74/H74</f>
        <v>0.99381873536950238</v>
      </c>
      <c r="K74" s="282">
        <f>SUM(K76:K86)</f>
        <v>0</v>
      </c>
      <c r="L74" s="282"/>
    </row>
    <row r="75" spans="1:12" ht="48" x14ac:dyDescent="0.2">
      <c r="A75" s="1916"/>
      <c r="B75" s="1885"/>
      <c r="C75" s="283">
        <v>2010</v>
      </c>
      <c r="D75" s="284" t="s">
        <v>1101</v>
      </c>
      <c r="E75" s="285">
        <v>7776564</v>
      </c>
      <c r="F75" s="286">
        <v>7728495</v>
      </c>
      <c r="G75" s="862">
        <f>F75/E75</f>
        <v>0.99381873536950249</v>
      </c>
      <c r="H75" s="286"/>
      <c r="I75" s="286"/>
      <c r="J75" s="848"/>
      <c r="K75" s="881">
        <v>0</v>
      </c>
      <c r="L75" s="882"/>
    </row>
    <row r="76" spans="1:12" ht="12" x14ac:dyDescent="0.2">
      <c r="A76" s="1916"/>
      <c r="B76" s="1886"/>
      <c r="C76" s="283">
        <v>3110</v>
      </c>
      <c r="D76" s="284" t="s">
        <v>747</v>
      </c>
      <c r="E76" s="287"/>
      <c r="F76" s="288"/>
      <c r="G76" s="861"/>
      <c r="H76" s="286">
        <v>7302991</v>
      </c>
      <c r="I76" s="288">
        <v>7275541.4900000002</v>
      </c>
      <c r="J76" s="848">
        <f>I76/H76</f>
        <v>0.99624133317431174</v>
      </c>
      <c r="K76" s="881"/>
      <c r="L76" s="882"/>
    </row>
    <row r="77" spans="1:12" ht="12" x14ac:dyDescent="0.2">
      <c r="A77" s="1916"/>
      <c r="B77" s="1886"/>
      <c r="C77" s="283">
        <v>4010</v>
      </c>
      <c r="D77" s="284" t="s">
        <v>343</v>
      </c>
      <c r="E77" s="287"/>
      <c r="F77" s="288"/>
      <c r="G77" s="861"/>
      <c r="H77" s="286">
        <v>141387.79</v>
      </c>
      <c r="I77" s="290">
        <v>136398.06</v>
      </c>
      <c r="J77" s="848">
        <f t="shared" ref="J77:J86" si="24">I77/H77</f>
        <v>0.96470890449592561</v>
      </c>
      <c r="K77" s="881"/>
      <c r="L77" s="882"/>
    </row>
    <row r="78" spans="1:12" ht="12" x14ac:dyDescent="0.2">
      <c r="A78" s="1916"/>
      <c r="B78" s="1886"/>
      <c r="C78" s="283">
        <v>4040</v>
      </c>
      <c r="D78" s="284" t="s">
        <v>1107</v>
      </c>
      <c r="E78" s="287"/>
      <c r="F78" s="288"/>
      <c r="G78" s="861"/>
      <c r="H78" s="286">
        <v>8969</v>
      </c>
      <c r="I78" s="290">
        <v>8969</v>
      </c>
      <c r="J78" s="848">
        <f t="shared" si="24"/>
        <v>1</v>
      </c>
      <c r="K78" s="881"/>
      <c r="L78" s="882"/>
    </row>
    <row r="79" spans="1:12" ht="12" x14ac:dyDescent="0.2">
      <c r="A79" s="1916"/>
      <c r="B79" s="1886"/>
      <c r="C79" s="283">
        <v>4110</v>
      </c>
      <c r="D79" s="284" t="s">
        <v>346</v>
      </c>
      <c r="E79" s="287"/>
      <c r="F79" s="288"/>
      <c r="G79" s="861"/>
      <c r="H79" s="286">
        <v>277647.71000000002</v>
      </c>
      <c r="I79" s="290">
        <v>266473.75</v>
      </c>
      <c r="J79" s="848">
        <f t="shared" si="24"/>
        <v>0.95975489947314885</v>
      </c>
      <c r="K79" s="881"/>
      <c r="L79" s="882"/>
    </row>
    <row r="80" spans="1:12" ht="12" x14ac:dyDescent="0.2">
      <c r="A80" s="1916"/>
      <c r="B80" s="1886"/>
      <c r="C80" s="296">
        <v>4120</v>
      </c>
      <c r="D80" s="335" t="s">
        <v>349</v>
      </c>
      <c r="E80" s="287"/>
      <c r="F80" s="288"/>
      <c r="G80" s="861"/>
      <c r="H80" s="289">
        <v>2509.5</v>
      </c>
      <c r="I80" s="290">
        <v>2300.27</v>
      </c>
      <c r="J80" s="848">
        <f t="shared" si="24"/>
        <v>0.9166248256624826</v>
      </c>
      <c r="K80" s="881"/>
      <c r="L80" s="882"/>
    </row>
    <row r="81" spans="1:12" ht="12" x14ac:dyDescent="0.2">
      <c r="A81" s="1916"/>
      <c r="B81" s="1886"/>
      <c r="C81" s="283">
        <v>4210</v>
      </c>
      <c r="D81" s="284" t="s">
        <v>352</v>
      </c>
      <c r="E81" s="287"/>
      <c r="F81" s="288"/>
      <c r="G81" s="861"/>
      <c r="H81" s="286">
        <v>9010</v>
      </c>
      <c r="I81" s="290">
        <v>7118.76</v>
      </c>
      <c r="J81" s="848">
        <f t="shared" si="24"/>
        <v>0.79009544950055499</v>
      </c>
      <c r="K81" s="881"/>
      <c r="L81" s="882"/>
    </row>
    <row r="82" spans="1:12" ht="12" x14ac:dyDescent="0.2">
      <c r="A82" s="1916"/>
      <c r="B82" s="1886"/>
      <c r="C82" s="283">
        <v>4260</v>
      </c>
      <c r="D82" s="284" t="s">
        <v>368</v>
      </c>
      <c r="E82" s="287"/>
      <c r="F82" s="288"/>
      <c r="G82" s="861"/>
      <c r="H82" s="286">
        <v>4020</v>
      </c>
      <c r="I82" s="290">
        <v>1732</v>
      </c>
      <c r="J82" s="848">
        <f t="shared" si="24"/>
        <v>0.43084577114427863</v>
      </c>
      <c r="K82" s="881"/>
      <c r="L82" s="882"/>
    </row>
    <row r="83" spans="1:12" ht="12" x14ac:dyDescent="0.2">
      <c r="A83" s="1916"/>
      <c r="B83" s="1886"/>
      <c r="C83" s="283">
        <v>4300</v>
      </c>
      <c r="D83" s="284" t="s">
        <v>355</v>
      </c>
      <c r="E83" s="287"/>
      <c r="F83" s="288"/>
      <c r="G83" s="861"/>
      <c r="H83" s="286">
        <v>22000</v>
      </c>
      <c r="I83" s="290">
        <v>22000</v>
      </c>
      <c r="J83" s="848">
        <f t="shared" si="24"/>
        <v>1</v>
      </c>
      <c r="K83" s="881"/>
      <c r="L83" s="882"/>
    </row>
    <row r="84" spans="1:12" ht="24" x14ac:dyDescent="0.2">
      <c r="A84" s="1916"/>
      <c r="B84" s="1886"/>
      <c r="C84" s="283">
        <v>4360</v>
      </c>
      <c r="D84" s="338" t="s">
        <v>1110</v>
      </c>
      <c r="E84" s="287"/>
      <c r="F84" s="288"/>
      <c r="G84" s="861"/>
      <c r="H84" s="286">
        <v>1000</v>
      </c>
      <c r="I84" s="290">
        <v>1000</v>
      </c>
      <c r="J84" s="848">
        <f t="shared" si="24"/>
        <v>1</v>
      </c>
      <c r="K84" s="881"/>
      <c r="L84" s="882"/>
    </row>
    <row r="85" spans="1:12" ht="24" x14ac:dyDescent="0.2">
      <c r="A85" s="1916"/>
      <c r="B85" s="1886"/>
      <c r="C85" s="283">
        <v>4440</v>
      </c>
      <c r="D85" s="284" t="s">
        <v>490</v>
      </c>
      <c r="E85" s="287"/>
      <c r="F85" s="288"/>
      <c r="G85" s="861"/>
      <c r="H85" s="286">
        <v>4029</v>
      </c>
      <c r="I85" s="290">
        <v>4029</v>
      </c>
      <c r="J85" s="848">
        <f t="shared" si="24"/>
        <v>1</v>
      </c>
      <c r="K85" s="881"/>
      <c r="L85" s="882"/>
    </row>
    <row r="86" spans="1:12" ht="24" x14ac:dyDescent="0.2">
      <c r="A86" s="1341"/>
      <c r="B86" s="1887"/>
      <c r="C86" s="336">
        <v>4700</v>
      </c>
      <c r="D86" s="338" t="s">
        <v>1102</v>
      </c>
      <c r="E86" s="285"/>
      <c r="F86" s="286"/>
      <c r="G86" s="862"/>
      <c r="H86" s="286">
        <v>3000</v>
      </c>
      <c r="I86" s="286">
        <v>2932.67</v>
      </c>
      <c r="J86" s="848">
        <f t="shared" si="24"/>
        <v>0.97755666666666674</v>
      </c>
      <c r="K86" s="881"/>
      <c r="L86" s="882"/>
    </row>
    <row r="87" spans="1:12" ht="15.75" x14ac:dyDescent="0.2">
      <c r="A87" s="1341"/>
      <c r="B87" s="299">
        <v>85503</v>
      </c>
      <c r="C87" s="316"/>
      <c r="D87" s="329" t="s">
        <v>299</v>
      </c>
      <c r="E87" s="339">
        <f>E88</f>
        <v>327</v>
      </c>
      <c r="F87" s="339">
        <f>F88</f>
        <v>310.88</v>
      </c>
      <c r="G87" s="875">
        <f>F87/E87</f>
        <v>0.95070336391437305</v>
      </c>
      <c r="H87" s="301">
        <f>H89+H90+H91</f>
        <v>327.00000000000006</v>
      </c>
      <c r="I87" s="301">
        <f t="shared" ref="I87:K87" si="25">I89+I90+I91</f>
        <v>310.88</v>
      </c>
      <c r="J87" s="855">
        <f>I87/H87</f>
        <v>0.95070336391437293</v>
      </c>
      <c r="K87" s="301">
        <f t="shared" si="25"/>
        <v>0</v>
      </c>
      <c r="L87" s="301"/>
    </row>
    <row r="88" spans="1:12" ht="48" x14ac:dyDescent="0.2">
      <c r="A88" s="1341"/>
      <c r="B88" s="1340"/>
      <c r="C88" s="283">
        <v>2010</v>
      </c>
      <c r="D88" s="284" t="s">
        <v>1101</v>
      </c>
      <c r="E88" s="285">
        <v>327</v>
      </c>
      <c r="F88" s="286">
        <v>310.88</v>
      </c>
      <c r="G88" s="862">
        <f>F88/E88</f>
        <v>0.95070336391437305</v>
      </c>
      <c r="H88" s="286"/>
      <c r="I88" s="286"/>
      <c r="J88" s="848"/>
      <c r="K88" s="881">
        <v>16.12</v>
      </c>
      <c r="L88" s="882" t="s">
        <v>1406</v>
      </c>
    </row>
    <row r="89" spans="1:12" ht="15.75" x14ac:dyDescent="0.2">
      <c r="A89" s="1341"/>
      <c r="B89" s="1341"/>
      <c r="C89" s="283">
        <v>4010</v>
      </c>
      <c r="D89" s="284" t="s">
        <v>343</v>
      </c>
      <c r="E89" s="287"/>
      <c r="F89" s="288"/>
      <c r="G89" s="861"/>
      <c r="H89" s="289">
        <v>272.72000000000003</v>
      </c>
      <c r="I89" s="289">
        <v>259.26</v>
      </c>
      <c r="J89" s="848">
        <f>I89/H89</f>
        <v>0.95064535054268096</v>
      </c>
      <c r="K89" s="881"/>
      <c r="L89" s="882"/>
    </row>
    <row r="90" spans="1:12" ht="15.75" x14ac:dyDescent="0.2">
      <c r="A90" s="1341"/>
      <c r="B90" s="1341"/>
      <c r="C90" s="283">
        <v>4110</v>
      </c>
      <c r="D90" s="284" t="s">
        <v>346</v>
      </c>
      <c r="E90" s="287"/>
      <c r="F90" s="288"/>
      <c r="G90" s="861"/>
      <c r="H90" s="286">
        <v>47.61</v>
      </c>
      <c r="I90" s="286">
        <v>45.27</v>
      </c>
      <c r="J90" s="848">
        <f t="shared" ref="J90:J91" si="26">I90/H90</f>
        <v>0.95085066162570897</v>
      </c>
      <c r="K90" s="881"/>
      <c r="L90" s="882"/>
    </row>
    <row r="91" spans="1:12" ht="15.75" x14ac:dyDescent="0.2">
      <c r="A91" s="1341"/>
      <c r="B91" s="1342"/>
      <c r="C91" s="296">
        <v>4120</v>
      </c>
      <c r="D91" s="335" t="s">
        <v>349</v>
      </c>
      <c r="E91" s="285"/>
      <c r="F91" s="286"/>
      <c r="G91" s="862"/>
      <c r="H91" s="286">
        <v>6.67</v>
      </c>
      <c r="I91" s="286">
        <v>6.35</v>
      </c>
      <c r="J91" s="848">
        <f t="shared" si="26"/>
        <v>0.95202398800599697</v>
      </c>
      <c r="K91" s="881"/>
      <c r="L91" s="882"/>
    </row>
    <row r="92" spans="1:12" ht="15.75" hidden="1" x14ac:dyDescent="0.2">
      <c r="A92" s="1341"/>
      <c r="B92" s="294">
        <v>85595</v>
      </c>
      <c r="C92" s="340"/>
      <c r="D92" s="280" t="s">
        <v>14</v>
      </c>
      <c r="E92" s="337">
        <f>E93</f>
        <v>0</v>
      </c>
      <c r="F92" s="337">
        <f>F93</f>
        <v>0</v>
      </c>
      <c r="G92" s="876"/>
      <c r="H92" s="282">
        <f>H95+H96+H97+H94+H98+H99</f>
        <v>0</v>
      </c>
      <c r="I92" s="282">
        <f t="shared" ref="I92:J92" si="27">I95+I96+I97+I94+I98+I99</f>
        <v>0</v>
      </c>
      <c r="J92" s="847">
        <f t="shared" si="27"/>
        <v>0</v>
      </c>
      <c r="K92" s="881"/>
      <c r="L92" s="882"/>
    </row>
    <row r="93" spans="1:12" ht="48" hidden="1" x14ac:dyDescent="0.2">
      <c r="A93" s="1341"/>
      <c r="B93" s="1340"/>
      <c r="C93" s="283">
        <v>2010</v>
      </c>
      <c r="D93" s="284" t="s">
        <v>1101</v>
      </c>
      <c r="E93" s="285">
        <v>0</v>
      </c>
      <c r="F93" s="286"/>
      <c r="G93" s="862"/>
      <c r="H93" s="286"/>
      <c r="I93" s="286"/>
      <c r="J93" s="848"/>
      <c r="K93" s="881"/>
      <c r="L93" s="882"/>
    </row>
    <row r="94" spans="1:12" ht="15.75" hidden="1" x14ac:dyDescent="0.2">
      <c r="A94" s="1341"/>
      <c r="B94" s="1341"/>
      <c r="C94" s="283">
        <v>3110</v>
      </c>
      <c r="D94" s="284" t="s">
        <v>747</v>
      </c>
      <c r="E94" s="287"/>
      <c r="F94" s="288"/>
      <c r="G94" s="861"/>
      <c r="H94" s="295">
        <v>0</v>
      </c>
      <c r="I94" s="289"/>
      <c r="J94" s="850"/>
      <c r="K94" s="881"/>
      <c r="L94" s="882"/>
    </row>
    <row r="95" spans="1:12" ht="15.75" hidden="1" x14ac:dyDescent="0.2">
      <c r="A95" s="1341"/>
      <c r="B95" s="1341"/>
      <c r="C95" s="283">
        <v>4010</v>
      </c>
      <c r="D95" s="284" t="s">
        <v>343</v>
      </c>
      <c r="E95" s="287"/>
      <c r="F95" s="288"/>
      <c r="G95" s="861"/>
      <c r="H95" s="289">
        <v>0</v>
      </c>
      <c r="I95" s="290"/>
      <c r="J95" s="848"/>
      <c r="K95" s="881"/>
      <c r="L95" s="882"/>
    </row>
    <row r="96" spans="1:12" ht="15.75" hidden="1" x14ac:dyDescent="0.2">
      <c r="A96" s="1341"/>
      <c r="B96" s="1341"/>
      <c r="C96" s="283">
        <v>4110</v>
      </c>
      <c r="D96" s="284" t="s">
        <v>346</v>
      </c>
      <c r="E96" s="287"/>
      <c r="F96" s="288"/>
      <c r="G96" s="861"/>
      <c r="H96" s="286">
        <v>0</v>
      </c>
      <c r="I96" s="285"/>
      <c r="J96" s="848"/>
      <c r="K96" s="881"/>
      <c r="L96" s="882"/>
    </row>
    <row r="97" spans="1:12" ht="15.75" hidden="1" x14ac:dyDescent="0.2">
      <c r="A97" s="1341"/>
      <c r="B97" s="1341"/>
      <c r="C97" s="296">
        <v>4120</v>
      </c>
      <c r="D97" s="335" t="s">
        <v>349</v>
      </c>
      <c r="E97" s="287"/>
      <c r="F97" s="288"/>
      <c r="G97" s="861"/>
      <c r="H97" s="288">
        <v>0</v>
      </c>
      <c r="I97" s="288"/>
      <c r="J97" s="848"/>
      <c r="K97" s="881"/>
      <c r="L97" s="882"/>
    </row>
    <row r="98" spans="1:12" ht="15.75" hidden="1" x14ac:dyDescent="0.2">
      <c r="A98" s="1341"/>
      <c r="B98" s="1341"/>
      <c r="C98" s="296">
        <v>4210</v>
      </c>
      <c r="D98" s="284" t="s">
        <v>352</v>
      </c>
      <c r="E98" s="287"/>
      <c r="F98" s="288"/>
      <c r="G98" s="861"/>
      <c r="H98" s="289">
        <v>0</v>
      </c>
      <c r="I98" s="290"/>
      <c r="J98" s="848"/>
      <c r="K98" s="881"/>
      <c r="L98" s="882"/>
    </row>
    <row r="99" spans="1:12" ht="15.75" hidden="1" x14ac:dyDescent="0.2">
      <c r="A99" s="1341"/>
      <c r="B99" s="1341"/>
      <c r="C99" s="341">
        <v>4300</v>
      </c>
      <c r="D99" s="292" t="s">
        <v>355</v>
      </c>
      <c r="E99" s="287"/>
      <c r="F99" s="288"/>
      <c r="G99" s="861"/>
      <c r="H99" s="288">
        <v>0</v>
      </c>
      <c r="I99" s="288"/>
      <c r="J99" s="849"/>
      <c r="K99" s="881"/>
      <c r="L99" s="882"/>
    </row>
    <row r="100" spans="1:12" ht="27" customHeight="1" x14ac:dyDescent="0.2">
      <c r="A100" s="342"/>
      <c r="B100" s="342"/>
      <c r="C100" s="342"/>
      <c r="D100" s="900" t="s">
        <v>1083</v>
      </c>
      <c r="E100" s="901">
        <f>E59+E45+E25+E16+E7+E31</f>
        <v>24524352.369999997</v>
      </c>
      <c r="F100" s="901">
        <f>F59+F45+F25+F16+F7+F31</f>
        <v>24149008.669999998</v>
      </c>
      <c r="G100" s="902">
        <f>F100/E100</f>
        <v>0.98469506169471177</v>
      </c>
      <c r="H100" s="903">
        <f>H59+H45+H25+H16+H7+H31</f>
        <v>24524352.369999997</v>
      </c>
      <c r="I100" s="901">
        <f>I59+I45+I25+I16+I7+I31</f>
        <v>24149008.669999998</v>
      </c>
      <c r="J100" s="904">
        <f>I100/H100</f>
        <v>0.98469506169471177</v>
      </c>
      <c r="K100" s="901">
        <f>K59+K45+K25+K16+K7+K31</f>
        <v>53375.58</v>
      </c>
      <c r="L100" s="905" t="s">
        <v>951</v>
      </c>
    </row>
    <row r="101" spans="1:12" ht="13.5" customHeight="1" x14ac:dyDescent="0.2">
      <c r="A101" s="344"/>
      <c r="B101" s="344"/>
      <c r="C101" s="344"/>
      <c r="D101" s="1574"/>
      <c r="E101" s="1575"/>
      <c r="F101" s="1575"/>
      <c r="G101" s="1576"/>
      <c r="H101" s="1575"/>
      <c r="I101" s="1575"/>
      <c r="J101" s="1576"/>
      <c r="K101" s="1575"/>
      <c r="L101" s="1577"/>
    </row>
    <row r="102" spans="1:12" ht="27.75" customHeight="1" thickBot="1" x14ac:dyDescent="0.25">
      <c r="A102" s="343" t="s">
        <v>1111</v>
      </c>
      <c r="B102" s="344"/>
      <c r="C102" s="344"/>
      <c r="D102" s="345"/>
      <c r="E102" s="346"/>
      <c r="F102" s="346"/>
      <c r="G102" s="346"/>
      <c r="H102" s="346"/>
      <c r="I102" s="346"/>
      <c r="J102" s="346"/>
      <c r="K102" s="1579"/>
      <c r="L102" s="1579"/>
    </row>
    <row r="103" spans="1:12" ht="12.75" customHeight="1" x14ac:dyDescent="0.2">
      <c r="A103" s="1880" t="s">
        <v>0</v>
      </c>
      <c r="B103" s="1880" t="s">
        <v>1</v>
      </c>
      <c r="C103" s="1880" t="s">
        <v>1056</v>
      </c>
      <c r="D103" s="1880" t="s">
        <v>1098</v>
      </c>
      <c r="E103" s="1877" t="s">
        <v>1099</v>
      </c>
      <c r="F103" s="1878"/>
      <c r="G103" s="1879"/>
      <c r="H103" s="1900" t="s">
        <v>1100</v>
      </c>
      <c r="I103" s="1878"/>
      <c r="J103" s="1901"/>
      <c r="K103" s="1909" t="s">
        <v>1412</v>
      </c>
      <c r="L103" s="1911" t="s">
        <v>1410</v>
      </c>
    </row>
    <row r="104" spans="1:12" ht="33.75" customHeight="1" thickBot="1" x14ac:dyDescent="0.25">
      <c r="A104" s="1881"/>
      <c r="B104" s="1881"/>
      <c r="C104" s="1881"/>
      <c r="D104" s="1881"/>
      <c r="E104" s="1508" t="s">
        <v>1404</v>
      </c>
      <c r="F104" s="1509" t="s">
        <v>1362</v>
      </c>
      <c r="G104" s="1510" t="s">
        <v>1357</v>
      </c>
      <c r="H104" s="1511" t="s">
        <v>1404</v>
      </c>
      <c r="I104" s="1509" t="s">
        <v>1362</v>
      </c>
      <c r="J104" s="1512" t="s">
        <v>1357</v>
      </c>
      <c r="K104" s="1910"/>
      <c r="L104" s="1912"/>
    </row>
    <row r="105" spans="1:12" ht="15.75" x14ac:dyDescent="0.2">
      <c r="A105" s="1672">
        <v>710</v>
      </c>
      <c r="B105" s="1648"/>
      <c r="C105" s="1648"/>
      <c r="D105" s="1649" t="s">
        <v>63</v>
      </c>
      <c r="E105" s="1673">
        <f>E106</f>
        <v>28000</v>
      </c>
      <c r="F105" s="1673">
        <f t="shared" ref="F105:F106" si="28">F106</f>
        <v>27350.04</v>
      </c>
      <c r="G105" s="1674">
        <f>F105/E105</f>
        <v>0.97678714285714285</v>
      </c>
      <c r="H105" s="1675">
        <f>H106</f>
        <v>28000</v>
      </c>
      <c r="I105" s="1676">
        <f>I106</f>
        <v>27350.04</v>
      </c>
      <c r="J105" s="1677">
        <f>I105/H105</f>
        <v>0.97678714285714285</v>
      </c>
      <c r="K105" s="1673">
        <f>K106</f>
        <v>649.96</v>
      </c>
      <c r="L105" s="1677"/>
    </row>
    <row r="106" spans="1:12" ht="15.75" x14ac:dyDescent="0.2">
      <c r="A106" s="1885"/>
      <c r="B106" s="294">
        <v>71035</v>
      </c>
      <c r="C106" s="279"/>
      <c r="D106" s="280" t="s">
        <v>66</v>
      </c>
      <c r="E106" s="347">
        <f>E107</f>
        <v>28000</v>
      </c>
      <c r="F106" s="347">
        <f t="shared" si="28"/>
        <v>27350.04</v>
      </c>
      <c r="G106" s="879">
        <f>F106/E106</f>
        <v>0.97678714285714285</v>
      </c>
      <c r="H106" s="348">
        <f>H108+H109</f>
        <v>28000</v>
      </c>
      <c r="I106" s="349">
        <f t="shared" ref="I106" si="29">I108+I109</f>
        <v>27350.04</v>
      </c>
      <c r="J106" s="880">
        <f>I106/H106</f>
        <v>0.97678714285714285</v>
      </c>
      <c r="K106" s="349">
        <f>K107</f>
        <v>649.96</v>
      </c>
      <c r="L106" s="880"/>
    </row>
    <row r="107" spans="1:12" ht="45" x14ac:dyDescent="0.2">
      <c r="A107" s="1886"/>
      <c r="B107" s="1888"/>
      <c r="C107" s="1513">
        <v>2020</v>
      </c>
      <c r="D107" s="1514" t="s">
        <v>68</v>
      </c>
      <c r="E107" s="1515">
        <v>28000</v>
      </c>
      <c r="F107" s="1515">
        <v>27350.04</v>
      </c>
      <c r="G107" s="1516">
        <f>F107/E107</f>
        <v>0.97678714285714285</v>
      </c>
      <c r="H107" s="1517"/>
      <c r="I107" s="1515"/>
      <c r="J107" s="1518"/>
      <c r="K107" s="882">
        <v>649.96</v>
      </c>
      <c r="L107" s="882" t="s">
        <v>1411</v>
      </c>
    </row>
    <row r="108" spans="1:12" ht="12.75" customHeight="1" x14ac:dyDescent="0.2">
      <c r="A108" s="1886"/>
      <c r="B108" s="1889"/>
      <c r="C108" s="283">
        <v>4270</v>
      </c>
      <c r="D108" s="284" t="s">
        <v>382</v>
      </c>
      <c r="E108" s="1519"/>
      <c r="F108" s="1519"/>
      <c r="G108" s="1520"/>
      <c r="H108" s="1517">
        <v>20000</v>
      </c>
      <c r="I108" s="1515">
        <v>19370.04</v>
      </c>
      <c r="J108" s="1518">
        <f>I108/H108</f>
        <v>0.96850200000000009</v>
      </c>
      <c r="K108" s="882"/>
      <c r="L108" s="882"/>
    </row>
    <row r="109" spans="1:12" ht="12.75" customHeight="1" x14ac:dyDescent="0.2">
      <c r="A109" s="1887"/>
      <c r="B109" s="1890"/>
      <c r="C109" s="341">
        <v>4300</v>
      </c>
      <c r="D109" s="292" t="s">
        <v>355</v>
      </c>
      <c r="E109" s="1521"/>
      <c r="F109" s="1521"/>
      <c r="G109" s="1522"/>
      <c r="H109" s="1517">
        <v>8000</v>
      </c>
      <c r="I109" s="1515">
        <v>7980</v>
      </c>
      <c r="J109" s="1518">
        <f>I109/H109</f>
        <v>0.99750000000000005</v>
      </c>
      <c r="K109" s="882"/>
      <c r="L109" s="882"/>
    </row>
    <row r="110" spans="1:12" ht="22.5" customHeight="1" thickBot="1" x14ac:dyDescent="0.25">
      <c r="A110" s="1754"/>
      <c r="B110" s="1754"/>
      <c r="C110" s="1755"/>
      <c r="D110" s="1756" t="s">
        <v>1083</v>
      </c>
      <c r="E110" s="1757">
        <f>E105</f>
        <v>28000</v>
      </c>
      <c r="F110" s="1757">
        <f t="shared" ref="F110" si="30">F105</f>
        <v>27350.04</v>
      </c>
      <c r="G110" s="1758">
        <f>F110/E110</f>
        <v>0.97678714285714285</v>
      </c>
      <c r="H110" s="1759">
        <f>H105</f>
        <v>28000</v>
      </c>
      <c r="I110" s="1757">
        <f t="shared" ref="I110:K110" si="31">I105</f>
        <v>27350.04</v>
      </c>
      <c r="J110" s="1760">
        <f>I110/H110</f>
        <v>0.97678714285714285</v>
      </c>
      <c r="K110" s="1757">
        <f t="shared" si="31"/>
        <v>649.96</v>
      </c>
      <c r="L110" s="1760"/>
    </row>
    <row r="111" spans="1:12" ht="22.5" customHeight="1" thickBot="1" x14ac:dyDescent="0.25">
      <c r="A111" s="1891" t="s">
        <v>1112</v>
      </c>
      <c r="B111" s="1892"/>
      <c r="C111" s="1892"/>
      <c r="D111" s="1893"/>
      <c r="E111" s="1749">
        <f>E100+E110</f>
        <v>24552352.369999997</v>
      </c>
      <c r="F111" s="1749">
        <f t="shared" ref="F111:K111" si="32">F100+F110</f>
        <v>24176358.709999997</v>
      </c>
      <c r="G111" s="1750">
        <f>F111/E111</f>
        <v>0.98468604334387855</v>
      </c>
      <c r="H111" s="1751">
        <f t="shared" si="32"/>
        <v>24552352.369999997</v>
      </c>
      <c r="I111" s="1749">
        <f t="shared" si="32"/>
        <v>24176358.709999997</v>
      </c>
      <c r="J111" s="1752">
        <f>I111/H111</f>
        <v>0.98468604334387855</v>
      </c>
      <c r="K111" s="1749">
        <f t="shared" si="32"/>
        <v>54025.54</v>
      </c>
      <c r="L111" s="1753" t="s">
        <v>951</v>
      </c>
    </row>
    <row r="112" spans="1:12" ht="25.5" customHeight="1" thickBot="1" x14ac:dyDescent="0.25">
      <c r="A112" s="350" t="s">
        <v>1113</v>
      </c>
      <c r="B112" s="1578"/>
      <c r="C112" s="1578"/>
      <c r="D112" s="345"/>
      <c r="E112" s="1578"/>
      <c r="F112" s="1579"/>
      <c r="G112" s="1579"/>
      <c r="H112" s="1507"/>
      <c r="I112" s="1507"/>
      <c r="J112" s="1507"/>
      <c r="K112" s="1507"/>
      <c r="L112" s="1507"/>
    </row>
    <row r="113" spans="1:12" x14ac:dyDescent="0.2">
      <c r="A113" s="1880" t="s">
        <v>0</v>
      </c>
      <c r="B113" s="1880" t="s">
        <v>1</v>
      </c>
      <c r="C113" s="1880" t="s">
        <v>1056</v>
      </c>
      <c r="D113" s="1880" t="s">
        <v>1098</v>
      </c>
      <c r="E113" s="1922" t="s">
        <v>1403</v>
      </c>
      <c r="F113" s="1896" t="s">
        <v>1362</v>
      </c>
      <c r="G113" s="1898" t="s">
        <v>1357</v>
      </c>
      <c r="H113" s="1507"/>
      <c r="I113" s="1507"/>
      <c r="J113" s="1507"/>
      <c r="K113" s="1507"/>
      <c r="L113" s="1507"/>
    </row>
    <row r="114" spans="1:12" ht="18" customHeight="1" x14ac:dyDescent="0.2">
      <c r="A114" s="1894"/>
      <c r="B114" s="1894"/>
      <c r="C114" s="1894"/>
      <c r="D114" s="1894"/>
      <c r="E114" s="1923"/>
      <c r="F114" s="1897"/>
      <c r="G114" s="1899"/>
      <c r="H114" s="1507"/>
      <c r="I114" s="1507"/>
      <c r="J114" s="1507"/>
      <c r="K114" s="1507"/>
      <c r="L114" s="1507"/>
    </row>
    <row r="115" spans="1:12" ht="12.75" x14ac:dyDescent="0.2">
      <c r="A115" s="351">
        <v>750</v>
      </c>
      <c r="B115" s="351"/>
      <c r="C115" s="351"/>
      <c r="D115" s="1523" t="s">
        <v>70</v>
      </c>
      <c r="E115" s="911">
        <f>E116</f>
        <v>0</v>
      </c>
      <c r="F115" s="911">
        <f>F116</f>
        <v>496</v>
      </c>
      <c r="G115" s="1524">
        <v>0</v>
      </c>
      <c r="H115" s="1507"/>
      <c r="I115" s="1507"/>
      <c r="J115" s="1507"/>
      <c r="K115" s="1507"/>
      <c r="L115" s="1507"/>
    </row>
    <row r="116" spans="1:12" ht="12.75" x14ac:dyDescent="0.2">
      <c r="A116" s="1525"/>
      <c r="B116" s="299">
        <v>75011</v>
      </c>
      <c r="C116" s="299"/>
      <c r="D116" s="280" t="s">
        <v>72</v>
      </c>
      <c r="E116" s="300">
        <f>E117</f>
        <v>0</v>
      </c>
      <c r="F116" s="300">
        <f>F117</f>
        <v>496</v>
      </c>
      <c r="G116" s="1526">
        <v>0</v>
      </c>
      <c r="H116" s="1507"/>
      <c r="I116" s="1507"/>
      <c r="J116" s="1507"/>
      <c r="K116" s="1507"/>
      <c r="L116" s="1507"/>
    </row>
    <row r="117" spans="1:12" ht="12.75" x14ac:dyDescent="0.2">
      <c r="A117" s="1525"/>
      <c r="B117" s="1527"/>
      <c r="C117" s="1528" t="s">
        <v>25</v>
      </c>
      <c r="D117" s="1529" t="s">
        <v>26</v>
      </c>
      <c r="E117" s="1530">
        <v>0</v>
      </c>
      <c r="F117" s="1531">
        <v>496</v>
      </c>
      <c r="G117" s="1532">
        <v>0</v>
      </c>
      <c r="H117" s="1507"/>
      <c r="I117" s="1507"/>
      <c r="J117" s="1507"/>
      <c r="K117" s="1507"/>
      <c r="L117" s="1507"/>
    </row>
    <row r="118" spans="1:12" ht="15.75" x14ac:dyDescent="0.2">
      <c r="A118" s="351">
        <v>852</v>
      </c>
      <c r="B118" s="353"/>
      <c r="C118" s="353"/>
      <c r="D118" s="354" t="s">
        <v>235</v>
      </c>
      <c r="E118" s="1533">
        <f>E119</f>
        <v>2500</v>
      </c>
      <c r="F118" s="1533">
        <f>F119</f>
        <v>39455.85</v>
      </c>
      <c r="G118" s="1534">
        <f t="shared" ref="G118:G121" si="33">F118/E118</f>
        <v>15.78234</v>
      </c>
      <c r="H118" s="1507"/>
      <c r="I118" s="1507"/>
      <c r="J118" s="1507"/>
      <c r="K118" s="1507"/>
      <c r="L118" s="1507"/>
    </row>
    <row r="119" spans="1:12" ht="25.5" x14ac:dyDescent="0.2">
      <c r="A119" s="1525"/>
      <c r="B119" s="299">
        <v>85228</v>
      </c>
      <c r="C119" s="316"/>
      <c r="D119" s="329" t="s">
        <v>260</v>
      </c>
      <c r="E119" s="352">
        <f>E120</f>
        <v>2500</v>
      </c>
      <c r="F119" s="352">
        <f t="shared" ref="F119" si="34">F120</f>
        <v>39455.85</v>
      </c>
      <c r="G119" s="1501">
        <f t="shared" si="33"/>
        <v>15.78234</v>
      </c>
      <c r="H119" s="1507"/>
      <c r="I119" s="1507"/>
      <c r="J119" s="1507"/>
      <c r="K119" s="1507"/>
      <c r="L119" s="1507"/>
    </row>
    <row r="120" spans="1:12" ht="12.75" x14ac:dyDescent="0.2">
      <c r="A120" s="1525"/>
      <c r="B120" s="1535"/>
      <c r="C120" s="1535" t="s">
        <v>98</v>
      </c>
      <c r="D120" s="1536" t="s">
        <v>99</v>
      </c>
      <c r="E120" s="1537">
        <v>2500</v>
      </c>
      <c r="F120" s="881">
        <v>39455.85</v>
      </c>
      <c r="G120" s="1538">
        <f t="shared" si="33"/>
        <v>15.78234</v>
      </c>
      <c r="H120" s="1507"/>
      <c r="I120" s="1507"/>
      <c r="J120" s="1507"/>
      <c r="K120" s="1507"/>
      <c r="L120" s="1507"/>
    </row>
    <row r="121" spans="1:12" ht="15.75" x14ac:dyDescent="0.2">
      <c r="A121" s="351">
        <v>855</v>
      </c>
      <c r="B121" s="353"/>
      <c r="C121" s="353"/>
      <c r="D121" s="354" t="s">
        <v>285</v>
      </c>
      <c r="E121" s="1533">
        <f>E122+E127</f>
        <v>155000</v>
      </c>
      <c r="F121" s="1533">
        <f>F122+F127</f>
        <v>326470.87999999995</v>
      </c>
      <c r="G121" s="1534">
        <f t="shared" si="33"/>
        <v>2.1062637419354835</v>
      </c>
      <c r="H121" s="1507"/>
      <c r="I121" s="1507"/>
      <c r="J121" s="1507"/>
      <c r="K121" s="1507"/>
      <c r="L121" s="1507"/>
    </row>
    <row r="122" spans="1:12" ht="51" x14ac:dyDescent="0.2">
      <c r="A122" s="1340"/>
      <c r="B122" s="294">
        <v>85502</v>
      </c>
      <c r="C122" s="279"/>
      <c r="D122" s="280" t="s">
        <v>1109</v>
      </c>
      <c r="E122" s="355">
        <f>SUM(E123:E126)</f>
        <v>155000</v>
      </c>
      <c r="F122" s="355">
        <f>SUM(F123:F126)</f>
        <v>326452.45999999996</v>
      </c>
      <c r="G122" s="1502">
        <f t="shared" ref="G122" si="35">SUM(G126:G126)</f>
        <v>1.1224832258064517</v>
      </c>
      <c r="H122" s="1507"/>
      <c r="I122" s="1507"/>
      <c r="J122" s="1507"/>
      <c r="K122" s="1507"/>
      <c r="L122" s="1507"/>
    </row>
    <row r="123" spans="1:12" ht="22.5" x14ac:dyDescent="0.2">
      <c r="A123" s="1494"/>
      <c r="B123" s="1496"/>
      <c r="C123" s="1499" t="s">
        <v>144</v>
      </c>
      <c r="D123" s="1539" t="s">
        <v>145</v>
      </c>
      <c r="E123" s="1495">
        <v>0</v>
      </c>
      <c r="F123" s="1495">
        <v>20.399999999999999</v>
      </c>
      <c r="G123" s="1540">
        <v>0</v>
      </c>
      <c r="H123" s="1507"/>
      <c r="I123" s="1507"/>
      <c r="J123" s="1507"/>
      <c r="K123" s="1507"/>
      <c r="L123" s="1507"/>
    </row>
    <row r="124" spans="1:12" ht="15.75" x14ac:dyDescent="0.2">
      <c r="A124" s="1494"/>
      <c r="B124" s="1498"/>
      <c r="C124" s="1500" t="s">
        <v>54</v>
      </c>
      <c r="D124" s="1541" t="s">
        <v>55</v>
      </c>
      <c r="E124" s="1497">
        <v>0</v>
      </c>
      <c r="F124" s="1495">
        <v>132805.63</v>
      </c>
      <c r="G124" s="1540">
        <v>0</v>
      </c>
      <c r="H124" s="1507"/>
      <c r="I124" s="1507"/>
      <c r="J124" s="1507"/>
      <c r="K124" s="1507"/>
      <c r="L124" s="1507"/>
    </row>
    <row r="125" spans="1:12" ht="15.75" x14ac:dyDescent="0.2">
      <c r="A125" s="1341"/>
      <c r="B125" s="1498"/>
      <c r="C125" s="1500" t="s">
        <v>80</v>
      </c>
      <c r="D125" s="1542" t="s">
        <v>81</v>
      </c>
      <c r="E125" s="1497">
        <v>0</v>
      </c>
      <c r="F125" s="1495">
        <v>19641.53</v>
      </c>
      <c r="G125" s="1540">
        <v>0</v>
      </c>
      <c r="H125" s="1507"/>
      <c r="I125" s="1507"/>
      <c r="J125" s="1507"/>
      <c r="K125" s="1507"/>
      <c r="L125" s="1507"/>
    </row>
    <row r="126" spans="1:12" ht="22.5" x14ac:dyDescent="0.2">
      <c r="A126" s="1543"/>
      <c r="B126" s="1544"/>
      <c r="C126" s="1678" t="s">
        <v>1115</v>
      </c>
      <c r="D126" s="1545" t="s">
        <v>1116</v>
      </c>
      <c r="E126" s="1546">
        <v>155000</v>
      </c>
      <c r="F126" s="882">
        <v>173984.9</v>
      </c>
      <c r="G126" s="1540">
        <f t="shared" ref="G126" si="36">F126/E126</f>
        <v>1.1224832258064517</v>
      </c>
      <c r="H126" s="1507"/>
      <c r="I126" s="1507"/>
      <c r="J126" s="1507"/>
      <c r="K126" s="1507"/>
      <c r="L126" s="1507"/>
    </row>
    <row r="127" spans="1:12" ht="12.75" x14ac:dyDescent="0.2">
      <c r="A127" s="1543"/>
      <c r="B127" s="1547">
        <v>85503</v>
      </c>
      <c r="C127" s="1548"/>
      <c r="D127" s="1549" t="s">
        <v>299</v>
      </c>
      <c r="E127" s="1550">
        <f>E128</f>
        <v>0</v>
      </c>
      <c r="F127" s="1550">
        <f>F128</f>
        <v>18.420000000000002</v>
      </c>
      <c r="G127" s="1551">
        <v>0</v>
      </c>
      <c r="H127" s="1507"/>
      <c r="I127" s="1507"/>
      <c r="J127" s="1507"/>
      <c r="K127" s="1507"/>
      <c r="L127" s="1507"/>
    </row>
    <row r="128" spans="1:12" ht="13.5" thickBot="1" x14ac:dyDescent="0.25">
      <c r="A128" s="1552"/>
      <c r="B128" s="1553"/>
      <c r="C128" s="1679" t="s">
        <v>25</v>
      </c>
      <c r="D128" s="1554" t="s">
        <v>26</v>
      </c>
      <c r="E128" s="1555">
        <v>0</v>
      </c>
      <c r="F128" s="1556">
        <v>18.420000000000002</v>
      </c>
      <c r="G128" s="1557">
        <v>0</v>
      </c>
      <c r="H128" s="1507"/>
      <c r="I128" s="1507"/>
      <c r="J128" s="1507"/>
      <c r="K128" s="1507"/>
      <c r="L128" s="1507"/>
    </row>
    <row r="129" spans="1:12" ht="13.5" thickBot="1" x14ac:dyDescent="0.25">
      <c r="A129" s="1882" t="s">
        <v>1117</v>
      </c>
      <c r="B129" s="1883"/>
      <c r="C129" s="1883"/>
      <c r="D129" s="1884"/>
      <c r="E129" s="1558">
        <f>E118+E121+E115</f>
        <v>157500</v>
      </c>
      <c r="F129" s="1558">
        <f>F118+F121+F115</f>
        <v>366422.72999999992</v>
      </c>
      <c r="G129" s="1680">
        <f>F129/E129</f>
        <v>2.3264935238095235</v>
      </c>
      <c r="H129" s="1507"/>
      <c r="I129" s="1507"/>
      <c r="J129" s="1507"/>
      <c r="K129" s="1507"/>
      <c r="L129" s="1507"/>
    </row>
  </sheetData>
  <mergeCells count="36">
    <mergeCell ref="B5:B6"/>
    <mergeCell ref="A3:L3"/>
    <mergeCell ref="B50:B51"/>
    <mergeCell ref="B47:B48"/>
    <mergeCell ref="C5:C6"/>
    <mergeCell ref="D5:D6"/>
    <mergeCell ref="E5:G5"/>
    <mergeCell ref="G1:L1"/>
    <mergeCell ref="F113:F114"/>
    <mergeCell ref="G113:G114"/>
    <mergeCell ref="H103:J103"/>
    <mergeCell ref="H5:J5"/>
    <mergeCell ref="K5:K6"/>
    <mergeCell ref="L5:L6"/>
    <mergeCell ref="K103:K104"/>
    <mergeCell ref="L103:L104"/>
    <mergeCell ref="G2:J2"/>
    <mergeCell ref="A4:J4"/>
    <mergeCell ref="A60:A85"/>
    <mergeCell ref="B61:B73"/>
    <mergeCell ref="B75:B86"/>
    <mergeCell ref="A5:A6"/>
    <mergeCell ref="E113:E114"/>
    <mergeCell ref="A129:D129"/>
    <mergeCell ref="A106:A109"/>
    <mergeCell ref="B107:B109"/>
    <mergeCell ref="A111:D111"/>
    <mergeCell ref="A113:A114"/>
    <mergeCell ref="B113:B114"/>
    <mergeCell ref="C113:C114"/>
    <mergeCell ref="D113:D114"/>
    <mergeCell ref="E103:G103"/>
    <mergeCell ref="A103:A104"/>
    <mergeCell ref="B103:B104"/>
    <mergeCell ref="C103:C104"/>
    <mergeCell ref="D103:D104"/>
  </mergeCells>
  <pageMargins left="0.31496062992125984" right="0" top="0.74803149606299213" bottom="0.55118110236220474" header="0.31496062992125984" footer="0.31496062992125984"/>
  <pageSetup paperSize="9" orientation="landscape" r:id="rId1"/>
  <headerFooter>
    <oddFooter>Strona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workbookViewId="0">
      <selection activeCell="A2" sqref="A2:XFD2"/>
    </sheetView>
  </sheetViews>
  <sheetFormatPr defaultRowHeight="15" x14ac:dyDescent="0.25"/>
  <cols>
    <col min="4" max="4" width="32.5703125" customWidth="1"/>
    <col min="5" max="5" width="11.140625" customWidth="1"/>
    <col min="6" max="6" width="11.85546875" customWidth="1"/>
    <col min="7" max="7" width="9" customWidth="1"/>
    <col min="8" max="8" width="11.42578125" customWidth="1"/>
    <col min="9" max="9" width="12.7109375" customWidth="1"/>
    <col min="10" max="10" width="9.28515625" customWidth="1"/>
  </cols>
  <sheetData>
    <row r="1" spans="1:10" x14ac:dyDescent="0.25">
      <c r="D1" s="648"/>
      <c r="E1" s="648"/>
      <c r="F1" s="648"/>
      <c r="G1" s="648"/>
      <c r="H1" s="1932" t="s">
        <v>1437</v>
      </c>
      <c r="I1" s="1932"/>
      <c r="J1" s="1932"/>
    </row>
    <row r="3" spans="1:10" x14ac:dyDescent="0.25">
      <c r="A3" s="1933" t="s">
        <v>1358</v>
      </c>
      <c r="B3" s="1933"/>
      <c r="C3" s="1933"/>
      <c r="D3" s="1933"/>
      <c r="E3" s="1933"/>
      <c r="F3" s="1933"/>
      <c r="G3" s="1933"/>
      <c r="H3" s="1933"/>
      <c r="I3" s="1933"/>
      <c r="J3" s="1933"/>
    </row>
    <row r="4" spans="1:10" x14ac:dyDescent="0.25">
      <c r="A4" s="1933" t="s">
        <v>1345</v>
      </c>
      <c r="B4" s="1933"/>
      <c r="C4" s="1933"/>
      <c r="D4" s="1933"/>
      <c r="E4" s="1933"/>
      <c r="F4" s="1933"/>
      <c r="G4" s="1933"/>
      <c r="H4" s="1933"/>
      <c r="I4" s="1933"/>
      <c r="J4" s="1933"/>
    </row>
    <row r="6" spans="1:10" x14ac:dyDescent="0.25">
      <c r="A6" s="1939" t="s">
        <v>0</v>
      </c>
      <c r="B6" s="1939" t="s">
        <v>1</v>
      </c>
      <c r="C6" s="1939" t="s">
        <v>1056</v>
      </c>
      <c r="D6" s="1940" t="s">
        <v>1098</v>
      </c>
      <c r="E6" s="1941" t="s">
        <v>1114</v>
      </c>
      <c r="F6" s="1941"/>
      <c r="G6" s="1942"/>
      <c r="H6" s="1935" t="s">
        <v>1100</v>
      </c>
      <c r="I6" s="1935"/>
      <c r="J6" s="1936"/>
    </row>
    <row r="7" spans="1:10" s="272" customFormat="1" ht="15" customHeight="1" x14ac:dyDescent="0.2">
      <c r="A7" s="1939"/>
      <c r="B7" s="1939"/>
      <c r="C7" s="1939"/>
      <c r="D7" s="1940"/>
      <c r="E7" s="1937" t="s">
        <v>1438</v>
      </c>
      <c r="F7" s="1937" t="s">
        <v>1439</v>
      </c>
      <c r="G7" s="1938" t="s">
        <v>1357</v>
      </c>
      <c r="H7" s="1937" t="s">
        <v>1440</v>
      </c>
      <c r="I7" s="1937" t="s">
        <v>1441</v>
      </c>
      <c r="J7" s="1938" t="s">
        <v>1357</v>
      </c>
    </row>
    <row r="8" spans="1:10" s="272" customFormat="1" ht="23.25" customHeight="1" x14ac:dyDescent="0.2">
      <c r="A8" s="1939"/>
      <c r="B8" s="1939"/>
      <c r="C8" s="1939"/>
      <c r="D8" s="1940"/>
      <c r="E8" s="1937"/>
      <c r="F8" s="1937"/>
      <c r="G8" s="1938"/>
      <c r="H8" s="1937"/>
      <c r="I8" s="1937"/>
      <c r="J8" s="1938"/>
    </row>
    <row r="9" spans="1:10" s="272" customFormat="1" ht="26.25" customHeight="1" x14ac:dyDescent="0.2">
      <c r="A9" s="1072">
        <v>801</v>
      </c>
      <c r="B9" s="1073"/>
      <c r="C9" s="1073"/>
      <c r="D9" s="1074" t="s">
        <v>185</v>
      </c>
      <c r="E9" s="1075">
        <f>E10</f>
        <v>14000</v>
      </c>
      <c r="F9" s="1075">
        <f t="shared" ref="F9:F10" si="0">F10</f>
        <v>27475.62</v>
      </c>
      <c r="G9" s="1076">
        <f>F9/E9</f>
        <v>1.9625442857142856</v>
      </c>
      <c r="H9" s="1077">
        <f>H12+H15</f>
        <v>14000</v>
      </c>
      <c r="I9" s="1077">
        <f t="shared" ref="I9" si="1">I12+I15</f>
        <v>27475.62</v>
      </c>
      <c r="J9" s="1078">
        <f>I9/H9</f>
        <v>1.9625442857142856</v>
      </c>
    </row>
    <row r="10" spans="1:10" s="272" customFormat="1" ht="19.5" customHeight="1" x14ac:dyDescent="0.2">
      <c r="A10" s="1929"/>
      <c r="B10" s="1079">
        <v>80104</v>
      </c>
      <c r="C10" s="1079"/>
      <c r="D10" s="1080" t="s">
        <v>1065</v>
      </c>
      <c r="E10" s="1081">
        <f>E11</f>
        <v>14000</v>
      </c>
      <c r="F10" s="1081">
        <f t="shared" si="0"/>
        <v>27475.62</v>
      </c>
      <c r="G10" s="1082">
        <f>F10/E10</f>
        <v>1.9625442857142856</v>
      </c>
      <c r="H10" s="1083">
        <f>H12</f>
        <v>14000</v>
      </c>
      <c r="I10" s="1083">
        <f t="shared" ref="I10" si="2">I12</f>
        <v>27475.62</v>
      </c>
      <c r="J10" s="1084">
        <f>I10/H10</f>
        <v>1.9625442857142856</v>
      </c>
    </row>
    <row r="11" spans="1:10" s="272" customFormat="1" ht="51" x14ac:dyDescent="0.2">
      <c r="A11" s="1930"/>
      <c r="B11" s="372"/>
      <c r="C11" s="372">
        <v>2310</v>
      </c>
      <c r="D11" s="649" t="s">
        <v>1346</v>
      </c>
      <c r="E11" s="650">
        <v>14000</v>
      </c>
      <c r="F11" s="650">
        <v>27475.62</v>
      </c>
      <c r="G11" s="684">
        <f>F11/E11</f>
        <v>1.9625442857142856</v>
      </c>
      <c r="H11" s="651"/>
      <c r="I11" s="652"/>
      <c r="J11" s="688"/>
    </row>
    <row r="12" spans="1:10" ht="38.25" x14ac:dyDescent="0.25">
      <c r="A12" s="1931"/>
      <c r="B12" s="653"/>
      <c r="C12" s="654">
        <v>2540</v>
      </c>
      <c r="D12" s="655" t="s">
        <v>1347</v>
      </c>
      <c r="E12" s="656"/>
      <c r="F12" s="657"/>
      <c r="G12" s="685"/>
      <c r="H12" s="658">
        <v>14000</v>
      </c>
      <c r="I12" s="659">
        <v>27475.62</v>
      </c>
      <c r="J12" s="689">
        <f>I12/H12</f>
        <v>1.9625442857142856</v>
      </c>
    </row>
    <row r="13" spans="1:10" ht="24" customHeight="1" x14ac:dyDescent="0.25">
      <c r="A13" s="1934" t="s">
        <v>1134</v>
      </c>
      <c r="B13" s="1934"/>
      <c r="C13" s="1934"/>
      <c r="D13" s="1934"/>
      <c r="E13" s="1068">
        <f>E9</f>
        <v>14000</v>
      </c>
      <c r="F13" s="1068">
        <f t="shared" ref="F13" si="3">F9</f>
        <v>27475.62</v>
      </c>
      <c r="G13" s="1069">
        <f>F13/E13</f>
        <v>1.9625442857142856</v>
      </c>
      <c r="H13" s="1070">
        <f>H9</f>
        <v>14000</v>
      </c>
      <c r="I13" s="1070">
        <f t="shared" ref="I13" si="4">I9</f>
        <v>27475.62</v>
      </c>
      <c r="J13" s="1071">
        <f>I13/H13</f>
        <v>1.9625442857142856</v>
      </c>
    </row>
    <row r="14" spans="1:10" x14ac:dyDescent="0.25">
      <c r="C14" s="660"/>
      <c r="D14" s="660"/>
      <c r="E14" s="660"/>
      <c r="F14" s="660"/>
      <c r="G14" s="686"/>
      <c r="H14" s="660"/>
    </row>
  </sheetData>
  <mergeCells count="17">
    <mergeCell ref="E6:G6"/>
    <mergeCell ref="A10:A12"/>
    <mergeCell ref="H1:J1"/>
    <mergeCell ref="A3:J3"/>
    <mergeCell ref="A4:J4"/>
    <mergeCell ref="A13:D13"/>
    <mergeCell ref="H6:J6"/>
    <mergeCell ref="E7:E8"/>
    <mergeCell ref="F7:F8"/>
    <mergeCell ref="G7:G8"/>
    <mergeCell ref="H7:H8"/>
    <mergeCell ref="I7:I8"/>
    <mergeCell ref="J7:J8"/>
    <mergeCell ref="A6:A8"/>
    <mergeCell ref="B6:B8"/>
    <mergeCell ref="C6:C8"/>
    <mergeCell ref="D6:D8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topLeftCell="A58" workbookViewId="0">
      <selection activeCell="D52" sqref="D52"/>
    </sheetView>
  </sheetViews>
  <sheetFormatPr defaultRowHeight="11.25" x14ac:dyDescent="0.2"/>
  <cols>
    <col min="1" max="1" width="5.42578125" style="360" customWidth="1"/>
    <col min="2" max="2" width="7.85546875" style="360" customWidth="1"/>
    <col min="3" max="3" width="6.5703125" style="360" customWidth="1"/>
    <col min="4" max="4" width="39.140625" style="360" customWidth="1"/>
    <col min="5" max="5" width="12.42578125" style="360" customWidth="1"/>
    <col min="6" max="6" width="12" style="360" customWidth="1"/>
    <col min="7" max="7" width="9.5703125" style="360" customWidth="1"/>
    <col min="8" max="8" width="13.42578125" style="360" customWidth="1"/>
    <col min="9" max="9" width="13.28515625" style="360" customWidth="1"/>
    <col min="10" max="10" width="8.42578125" style="360" customWidth="1"/>
    <col min="11" max="16384" width="9.140625" style="360"/>
  </cols>
  <sheetData>
    <row r="1" spans="1:12" ht="12.75" x14ac:dyDescent="0.2">
      <c r="A1" s="272"/>
      <c r="B1" s="272"/>
      <c r="C1" s="272"/>
      <c r="D1" s="272"/>
      <c r="F1" s="273"/>
      <c r="G1" s="273"/>
      <c r="H1" s="1895" t="s">
        <v>1442</v>
      </c>
      <c r="I1" s="1895"/>
      <c r="J1" s="1895"/>
      <c r="K1" s="1895"/>
      <c r="L1" s="1895"/>
    </row>
    <row r="2" spans="1:12" ht="12.75" x14ac:dyDescent="0.2">
      <c r="A2" s="272"/>
      <c r="B2" s="272"/>
      <c r="C2" s="272"/>
      <c r="D2" s="272"/>
      <c r="F2" s="273"/>
      <c r="G2" s="273"/>
      <c r="H2" s="273"/>
      <c r="I2" s="273"/>
      <c r="J2" s="14"/>
    </row>
    <row r="3" spans="1:12" ht="12.75" customHeight="1" x14ac:dyDescent="0.2">
      <c r="A3" s="272"/>
      <c r="B3" s="272"/>
      <c r="C3" s="272"/>
      <c r="D3" s="272"/>
      <c r="F3" s="274"/>
      <c r="G3" s="274"/>
      <c r="H3" s="361"/>
      <c r="I3" s="361"/>
      <c r="J3" s="361"/>
    </row>
    <row r="4" spans="1:12" ht="13.5" x14ac:dyDescent="0.25">
      <c r="A4" s="1945" t="s">
        <v>1443</v>
      </c>
      <c r="B4" s="1946"/>
      <c r="C4" s="1946"/>
      <c r="D4" s="1946"/>
      <c r="E4" s="1946"/>
      <c r="F4" s="1946"/>
      <c r="G4" s="1946"/>
      <c r="H4" s="1946"/>
      <c r="I4" s="1946"/>
      <c r="J4" s="1946"/>
    </row>
    <row r="5" spans="1:12" ht="9" customHeight="1" thickBot="1" x14ac:dyDescent="0.3">
      <c r="A5" s="1947"/>
      <c r="B5" s="1947"/>
      <c r="C5" s="1947"/>
      <c r="D5" s="1947"/>
      <c r="E5" s="1947"/>
      <c r="F5" s="1947"/>
      <c r="G5" s="1947"/>
      <c r="H5" s="1947"/>
      <c r="I5" s="1947"/>
      <c r="J5" s="1947"/>
    </row>
    <row r="6" spans="1:12" ht="12.75" x14ac:dyDescent="0.2">
      <c r="A6" s="1920" t="s">
        <v>0</v>
      </c>
      <c r="B6" s="1920" t="s">
        <v>1</v>
      </c>
      <c r="C6" s="1920" t="s">
        <v>1056</v>
      </c>
      <c r="D6" s="1920" t="s">
        <v>1098</v>
      </c>
      <c r="E6" s="1927" t="s">
        <v>1114</v>
      </c>
      <c r="F6" s="1903"/>
      <c r="G6" s="1904"/>
      <c r="H6" s="1927" t="s">
        <v>1100</v>
      </c>
      <c r="I6" s="1903"/>
      <c r="J6" s="1904"/>
      <c r="K6" s="1905" t="s">
        <v>1412</v>
      </c>
      <c r="L6" s="1907" t="s">
        <v>1410</v>
      </c>
    </row>
    <row r="7" spans="1:12" ht="29.25" customHeight="1" thickBot="1" x14ac:dyDescent="0.25">
      <c r="A7" s="1921"/>
      <c r="B7" s="1921"/>
      <c r="C7" s="1921"/>
      <c r="D7" s="1921"/>
      <c r="E7" s="275" t="s">
        <v>1413</v>
      </c>
      <c r="F7" s="275" t="s">
        <v>1362</v>
      </c>
      <c r="G7" s="878" t="s">
        <v>1357</v>
      </c>
      <c r="H7" s="275" t="s">
        <v>1413</v>
      </c>
      <c r="I7" s="275" t="s">
        <v>1362</v>
      </c>
      <c r="J7" s="878" t="s">
        <v>1357</v>
      </c>
      <c r="K7" s="1906"/>
      <c r="L7" s="1908"/>
    </row>
    <row r="8" spans="1:12" ht="12.75" x14ac:dyDescent="0.2">
      <c r="A8" s="362">
        <v>758</v>
      </c>
      <c r="B8" s="363"/>
      <c r="C8" s="363"/>
      <c r="D8" s="364" t="s">
        <v>162</v>
      </c>
      <c r="E8" s="365">
        <f>E9</f>
        <v>92103.59</v>
      </c>
      <c r="F8" s="365">
        <f t="shared" ref="F8" si="0">F9</f>
        <v>92103.59</v>
      </c>
      <c r="G8" s="884">
        <f>F8/E8</f>
        <v>1</v>
      </c>
      <c r="H8" s="365"/>
      <c r="I8" s="365"/>
      <c r="J8" s="884"/>
      <c r="K8" s="906"/>
      <c r="L8" s="884"/>
    </row>
    <row r="9" spans="1:12" ht="12.75" x14ac:dyDescent="0.2">
      <c r="A9" s="366"/>
      <c r="B9" s="367">
        <v>75814</v>
      </c>
      <c r="C9" s="368"/>
      <c r="D9" s="369" t="s">
        <v>172</v>
      </c>
      <c r="E9" s="370">
        <f>E10+E11</f>
        <v>92103.59</v>
      </c>
      <c r="F9" s="370">
        <f t="shared" ref="F9" si="1">F10+F11</f>
        <v>92103.59</v>
      </c>
      <c r="G9" s="885">
        <f>F9/E9</f>
        <v>1</v>
      </c>
      <c r="H9" s="370"/>
      <c r="I9" s="370"/>
      <c r="J9" s="885"/>
      <c r="K9" s="907"/>
      <c r="L9" s="914"/>
    </row>
    <row r="10" spans="1:12" ht="36" x14ac:dyDescent="0.2">
      <c r="A10" s="366"/>
      <c r="B10" s="371"/>
      <c r="C10" s="372">
        <v>2030</v>
      </c>
      <c r="D10" s="335" t="s">
        <v>1129</v>
      </c>
      <c r="E10" s="373">
        <v>84081.95</v>
      </c>
      <c r="F10" s="373">
        <v>84081.95</v>
      </c>
      <c r="G10" s="886">
        <f>F10/E10</f>
        <v>1</v>
      </c>
      <c r="H10" s="373"/>
      <c r="I10" s="373"/>
      <c r="J10" s="886"/>
      <c r="K10" s="908"/>
      <c r="L10" s="915"/>
    </row>
    <row r="11" spans="1:12" ht="48" x14ac:dyDescent="0.2">
      <c r="A11" s="366"/>
      <c r="B11" s="371"/>
      <c r="C11" s="372">
        <v>6330</v>
      </c>
      <c r="D11" s="335" t="s">
        <v>1130</v>
      </c>
      <c r="E11" s="374">
        <v>8021.64</v>
      </c>
      <c r="F11" s="374">
        <v>8021.64</v>
      </c>
      <c r="G11" s="886">
        <f>F11/E11</f>
        <v>1</v>
      </c>
      <c r="H11" s="374"/>
      <c r="I11" s="374"/>
      <c r="J11" s="891"/>
      <c r="K11" s="908"/>
      <c r="L11" s="915"/>
    </row>
    <row r="12" spans="1:12" ht="12.75" x14ac:dyDescent="0.2">
      <c r="A12" s="375">
        <v>700</v>
      </c>
      <c r="B12" s="376"/>
      <c r="C12" s="376"/>
      <c r="D12" s="377" t="s">
        <v>35</v>
      </c>
      <c r="E12" s="378"/>
      <c r="F12" s="378"/>
      <c r="G12" s="887"/>
      <c r="H12" s="378">
        <f>H13</f>
        <v>8021.64</v>
      </c>
      <c r="I12" s="378">
        <f t="shared" ref="I12:I13" si="2">I13</f>
        <v>8021.64</v>
      </c>
      <c r="J12" s="887">
        <f t="shared" ref="J12:J19" si="3">I12/H12</f>
        <v>1</v>
      </c>
      <c r="K12" s="909"/>
      <c r="L12" s="916"/>
    </row>
    <row r="13" spans="1:12" ht="12.75" x14ac:dyDescent="0.2">
      <c r="A13" s="366"/>
      <c r="B13" s="367">
        <v>70005</v>
      </c>
      <c r="C13" s="367"/>
      <c r="D13" s="379" t="s">
        <v>37</v>
      </c>
      <c r="E13" s="380"/>
      <c r="F13" s="380"/>
      <c r="G13" s="888"/>
      <c r="H13" s="381">
        <f>H14</f>
        <v>8021.64</v>
      </c>
      <c r="I13" s="381">
        <f t="shared" si="2"/>
        <v>8021.64</v>
      </c>
      <c r="J13" s="687">
        <f t="shared" si="3"/>
        <v>1</v>
      </c>
      <c r="K13" s="910"/>
      <c r="L13" s="917"/>
    </row>
    <row r="14" spans="1:12" ht="25.5" x14ac:dyDescent="0.2">
      <c r="A14" s="366"/>
      <c r="B14" s="371"/>
      <c r="C14" s="922">
        <v>6060</v>
      </c>
      <c r="D14" s="382" t="s">
        <v>396</v>
      </c>
      <c r="E14" s="383"/>
      <c r="F14" s="383"/>
      <c r="G14" s="889"/>
      <c r="H14" s="384">
        <v>8021.64</v>
      </c>
      <c r="I14" s="385">
        <v>8021.64</v>
      </c>
      <c r="J14" s="898">
        <f t="shared" si="3"/>
        <v>1</v>
      </c>
      <c r="K14" s="908"/>
      <c r="L14" s="915"/>
    </row>
    <row r="15" spans="1:12" ht="12.75" x14ac:dyDescent="0.2">
      <c r="A15" s="375">
        <v>801</v>
      </c>
      <c r="B15" s="376"/>
      <c r="C15" s="376"/>
      <c r="D15" s="386" t="s">
        <v>185</v>
      </c>
      <c r="E15" s="378"/>
      <c r="F15" s="378"/>
      <c r="G15" s="887"/>
      <c r="H15" s="378">
        <f>H16</f>
        <v>84081.95</v>
      </c>
      <c r="I15" s="378">
        <f t="shared" ref="I15:I16" si="4">I16</f>
        <v>84081.95</v>
      </c>
      <c r="J15" s="887">
        <f t="shared" si="3"/>
        <v>1</v>
      </c>
      <c r="K15" s="909"/>
      <c r="L15" s="916"/>
    </row>
    <row r="16" spans="1:12" ht="12.75" x14ac:dyDescent="0.2">
      <c r="A16" s="366"/>
      <c r="B16" s="367">
        <v>80104</v>
      </c>
      <c r="C16" s="367"/>
      <c r="D16" s="387" t="s">
        <v>1065</v>
      </c>
      <c r="E16" s="380"/>
      <c r="F16" s="380"/>
      <c r="G16" s="888"/>
      <c r="H16" s="381">
        <f>H17</f>
        <v>84081.95</v>
      </c>
      <c r="I16" s="381">
        <f t="shared" si="4"/>
        <v>84081.95</v>
      </c>
      <c r="J16" s="687">
        <f t="shared" si="3"/>
        <v>1</v>
      </c>
      <c r="K16" s="910"/>
      <c r="L16" s="917"/>
    </row>
    <row r="17" spans="1:13" ht="25.5" x14ac:dyDescent="0.2">
      <c r="A17" s="366"/>
      <c r="B17" s="371"/>
      <c r="C17" s="388">
        <v>2540</v>
      </c>
      <c r="D17" s="389" t="s">
        <v>1131</v>
      </c>
      <c r="E17" s="383"/>
      <c r="F17" s="383"/>
      <c r="G17" s="889"/>
      <c r="H17" s="384">
        <v>84081.95</v>
      </c>
      <c r="I17" s="385">
        <v>84081.95</v>
      </c>
      <c r="J17" s="898">
        <f t="shared" si="3"/>
        <v>1</v>
      </c>
      <c r="K17" s="908"/>
      <c r="L17" s="915"/>
    </row>
    <row r="18" spans="1:13" ht="12.75" x14ac:dyDescent="0.2">
      <c r="A18" s="375">
        <v>801</v>
      </c>
      <c r="B18" s="390"/>
      <c r="C18" s="390"/>
      <c r="D18" s="391" t="s">
        <v>185</v>
      </c>
      <c r="E18" s="392">
        <f>E23+E26+E19</f>
        <v>623344.99</v>
      </c>
      <c r="F18" s="392">
        <f t="shared" ref="F18:I18" si="5">F23+F26+F19</f>
        <v>614285.64</v>
      </c>
      <c r="G18" s="890">
        <f>F18/E18</f>
        <v>0.98546655520564952</v>
      </c>
      <c r="H18" s="392">
        <f t="shared" si="5"/>
        <v>623344.99</v>
      </c>
      <c r="I18" s="392">
        <f t="shared" si="5"/>
        <v>614285.64</v>
      </c>
      <c r="J18" s="890">
        <f t="shared" si="3"/>
        <v>0.98546655520564952</v>
      </c>
      <c r="K18" s="911">
        <f>K19+K23+K26</f>
        <v>9059.35</v>
      </c>
      <c r="L18" s="918"/>
    </row>
    <row r="19" spans="1:13" ht="12.75" x14ac:dyDescent="0.2">
      <c r="A19" s="393"/>
      <c r="B19" s="367">
        <v>80101</v>
      </c>
      <c r="C19" s="368"/>
      <c r="D19" s="369" t="s">
        <v>187</v>
      </c>
      <c r="E19" s="370">
        <f>E20</f>
        <v>49342.99</v>
      </c>
      <c r="F19" s="370">
        <f t="shared" ref="F19" si="6">F20</f>
        <v>48311.64</v>
      </c>
      <c r="G19" s="885">
        <f>F19/E19</f>
        <v>0.97909834811388607</v>
      </c>
      <c r="H19" s="370">
        <f>H22+H21</f>
        <v>49342.99</v>
      </c>
      <c r="I19" s="370">
        <f t="shared" ref="I19" si="7">I22+I21</f>
        <v>48311.64</v>
      </c>
      <c r="J19" s="885">
        <f t="shared" si="3"/>
        <v>0.97909834811388607</v>
      </c>
      <c r="K19" s="907">
        <f>K20</f>
        <v>1031.3499999999999</v>
      </c>
      <c r="L19" s="914"/>
    </row>
    <row r="20" spans="1:13" ht="36" x14ac:dyDescent="0.2">
      <c r="A20" s="393"/>
      <c r="B20" s="371"/>
      <c r="C20" s="372">
        <v>2030</v>
      </c>
      <c r="D20" s="284" t="s">
        <v>1129</v>
      </c>
      <c r="E20" s="394">
        <v>49342.99</v>
      </c>
      <c r="F20" s="373">
        <v>48311.64</v>
      </c>
      <c r="G20" s="886">
        <f>F20/E20</f>
        <v>0.97909834811388607</v>
      </c>
      <c r="H20" s="373"/>
      <c r="I20" s="373"/>
      <c r="J20" s="886"/>
      <c r="K20" s="908">
        <v>1031.3499999999999</v>
      </c>
      <c r="L20" s="915" t="s">
        <v>1414</v>
      </c>
    </row>
    <row r="21" spans="1:13" ht="12.75" x14ac:dyDescent="0.2">
      <c r="A21" s="393"/>
      <c r="B21" s="371"/>
      <c r="C21" s="395">
        <v>4210</v>
      </c>
      <c r="D21" s="284" t="s">
        <v>352</v>
      </c>
      <c r="E21" s="396"/>
      <c r="F21" s="383"/>
      <c r="G21" s="889"/>
      <c r="H21" s="374">
        <v>37342.99</v>
      </c>
      <c r="I21" s="374">
        <v>36311.64</v>
      </c>
      <c r="J21" s="891">
        <f>I21/H21</f>
        <v>0.97238169734132163</v>
      </c>
      <c r="K21" s="1012"/>
      <c r="L21" s="1013"/>
      <c r="M21" s="1014"/>
    </row>
    <row r="22" spans="1:13" ht="12.75" x14ac:dyDescent="0.2">
      <c r="A22" s="393"/>
      <c r="B22" s="397"/>
      <c r="C22" s="395">
        <v>4240</v>
      </c>
      <c r="D22" s="284" t="s">
        <v>574</v>
      </c>
      <c r="E22" s="374"/>
      <c r="F22" s="374"/>
      <c r="G22" s="891"/>
      <c r="H22" s="374">
        <v>12000</v>
      </c>
      <c r="I22" s="374">
        <v>12000</v>
      </c>
      <c r="J22" s="891">
        <f>I22/H22</f>
        <v>1</v>
      </c>
      <c r="K22" s="1012"/>
      <c r="L22" s="1013"/>
    </row>
    <row r="23" spans="1:13" ht="25.5" x14ac:dyDescent="0.2">
      <c r="A23" s="393"/>
      <c r="B23" s="367">
        <v>80103</v>
      </c>
      <c r="C23" s="368"/>
      <c r="D23" s="369" t="s">
        <v>1132</v>
      </c>
      <c r="E23" s="370">
        <f>E24</f>
        <v>85632</v>
      </c>
      <c r="F23" s="370">
        <f t="shared" ref="F23" si="8">F24</f>
        <v>83402</v>
      </c>
      <c r="G23" s="885">
        <f>F23/E23</f>
        <v>0.97395833333333337</v>
      </c>
      <c r="H23" s="370">
        <f>H25</f>
        <v>85632</v>
      </c>
      <c r="I23" s="370">
        <f t="shared" ref="I23" si="9">I25</f>
        <v>83402</v>
      </c>
      <c r="J23" s="885"/>
      <c r="K23" s="907">
        <f>K24</f>
        <v>2230</v>
      </c>
      <c r="L23" s="914"/>
    </row>
    <row r="24" spans="1:13" ht="36" x14ac:dyDescent="0.2">
      <c r="A24" s="393"/>
      <c r="B24" s="371"/>
      <c r="C24" s="372">
        <v>2030</v>
      </c>
      <c r="D24" s="284" t="s">
        <v>1129</v>
      </c>
      <c r="E24" s="394">
        <v>85632</v>
      </c>
      <c r="F24" s="373">
        <v>83402</v>
      </c>
      <c r="G24" s="886">
        <f>F24/E24</f>
        <v>0.97395833333333337</v>
      </c>
      <c r="H24" s="373"/>
      <c r="I24" s="373"/>
      <c r="J24" s="886"/>
      <c r="K24" s="908">
        <v>2230</v>
      </c>
      <c r="L24" s="915" t="s">
        <v>1408</v>
      </c>
    </row>
    <row r="25" spans="1:13" ht="12.75" x14ac:dyDescent="0.2">
      <c r="A25" s="393"/>
      <c r="B25" s="397"/>
      <c r="C25" s="395">
        <v>4010</v>
      </c>
      <c r="D25" s="284" t="s">
        <v>343</v>
      </c>
      <c r="E25" s="374"/>
      <c r="F25" s="374"/>
      <c r="G25" s="891"/>
      <c r="H25" s="374">
        <v>85632</v>
      </c>
      <c r="I25" s="374">
        <v>83402</v>
      </c>
      <c r="J25" s="891">
        <f>I25/H25</f>
        <v>0.97395833333333337</v>
      </c>
      <c r="K25" s="908"/>
      <c r="L25" s="915"/>
    </row>
    <row r="26" spans="1:13" ht="12.75" x14ac:dyDescent="0.2">
      <c r="A26" s="393"/>
      <c r="B26" s="398">
        <v>80104</v>
      </c>
      <c r="C26" s="399"/>
      <c r="D26" s="400" t="s">
        <v>1065</v>
      </c>
      <c r="E26" s="401">
        <f>E27</f>
        <v>488370</v>
      </c>
      <c r="F26" s="401">
        <f t="shared" ref="F26" si="10">F27</f>
        <v>482572</v>
      </c>
      <c r="G26" s="892">
        <f>F26/E26</f>
        <v>0.98812785388127855</v>
      </c>
      <c r="H26" s="401">
        <f>H28</f>
        <v>488370</v>
      </c>
      <c r="I26" s="401">
        <f t="shared" ref="I26" si="11">I28</f>
        <v>482572</v>
      </c>
      <c r="J26" s="892"/>
      <c r="K26" s="912">
        <f>K27</f>
        <v>5798</v>
      </c>
      <c r="L26" s="919"/>
    </row>
    <row r="27" spans="1:13" ht="36" x14ac:dyDescent="0.2">
      <c r="A27" s="393"/>
      <c r="B27" s="371"/>
      <c r="C27" s="372">
        <v>2030</v>
      </c>
      <c r="D27" s="284" t="s">
        <v>1129</v>
      </c>
      <c r="E27" s="394">
        <v>488370</v>
      </c>
      <c r="F27" s="373">
        <v>482572</v>
      </c>
      <c r="G27" s="886">
        <f>F27/E27</f>
        <v>0.98812785388127855</v>
      </c>
      <c r="H27" s="373"/>
      <c r="I27" s="373"/>
      <c r="J27" s="886"/>
      <c r="K27" s="908">
        <v>5798</v>
      </c>
      <c r="L27" s="915" t="s">
        <v>1408</v>
      </c>
    </row>
    <row r="28" spans="1:13" ht="12.75" x14ac:dyDescent="0.2">
      <c r="A28" s="393"/>
      <c r="B28" s="371"/>
      <c r="C28" s="395">
        <v>4010</v>
      </c>
      <c r="D28" s="284" t="s">
        <v>343</v>
      </c>
      <c r="E28" s="394"/>
      <c r="F28" s="373"/>
      <c r="G28" s="886"/>
      <c r="H28" s="373">
        <v>488370</v>
      </c>
      <c r="I28" s="373">
        <v>482572</v>
      </c>
      <c r="J28" s="886">
        <f>I28/H28</f>
        <v>0.98812785388127855</v>
      </c>
      <c r="K28" s="908"/>
      <c r="L28" s="915"/>
    </row>
    <row r="29" spans="1:13" ht="15.75" x14ac:dyDescent="0.2">
      <c r="A29" s="375">
        <v>852</v>
      </c>
      <c r="B29" s="1681"/>
      <c r="C29" s="1682"/>
      <c r="D29" s="1683" t="s">
        <v>235</v>
      </c>
      <c r="E29" s="1684">
        <f>E30+E33+E36+E39+E51</f>
        <v>915397</v>
      </c>
      <c r="F29" s="1684">
        <f t="shared" ref="F29:I29" si="12">F30+F33+F36+F39+F51</f>
        <v>905767.03999999992</v>
      </c>
      <c r="G29" s="1685">
        <f>F29/E29</f>
        <v>0.98948001795942075</v>
      </c>
      <c r="H29" s="1684">
        <f t="shared" si="12"/>
        <v>915397</v>
      </c>
      <c r="I29" s="1684">
        <f t="shared" si="12"/>
        <v>905767.03999999992</v>
      </c>
      <c r="J29" s="1685">
        <f>I29/H29</f>
        <v>0.98948001795942075</v>
      </c>
      <c r="K29" s="1661">
        <f>K30+K33+K36+K39+K51</f>
        <v>2433.96</v>
      </c>
      <c r="L29" s="1662"/>
    </row>
    <row r="30" spans="1:13" ht="63.75" x14ac:dyDescent="0.2">
      <c r="A30" s="402"/>
      <c r="B30" s="403">
        <v>85213</v>
      </c>
      <c r="C30" s="404"/>
      <c r="D30" s="405" t="s">
        <v>1104</v>
      </c>
      <c r="E30" s="406">
        <f>E31</f>
        <v>49918</v>
      </c>
      <c r="F30" s="406">
        <f t="shared" ref="F30" si="13">F31</f>
        <v>47667.7</v>
      </c>
      <c r="G30" s="893">
        <f>F30/E30</f>
        <v>0.95492006891301728</v>
      </c>
      <c r="H30" s="406">
        <f>H32</f>
        <v>49918</v>
      </c>
      <c r="I30" s="406">
        <f t="shared" ref="I30" si="14">I32</f>
        <v>47667.7</v>
      </c>
      <c r="J30" s="893">
        <f>I30/H30</f>
        <v>0.95492006891301728</v>
      </c>
      <c r="K30" s="406">
        <f>K31</f>
        <v>1250.3</v>
      </c>
      <c r="L30" s="893"/>
    </row>
    <row r="31" spans="1:13" ht="36" x14ac:dyDescent="0.2">
      <c r="A31" s="402"/>
      <c r="B31" s="277"/>
      <c r="C31" s="283">
        <v>2030</v>
      </c>
      <c r="D31" s="284" t="s">
        <v>1129</v>
      </c>
      <c r="E31" s="286">
        <v>49918</v>
      </c>
      <c r="F31" s="286">
        <v>47667.7</v>
      </c>
      <c r="G31" s="848">
        <f>F31/E31</f>
        <v>0.95492006891301728</v>
      </c>
      <c r="H31" s="286"/>
      <c r="I31" s="286"/>
      <c r="J31" s="848"/>
      <c r="K31" s="908">
        <v>1250.3</v>
      </c>
      <c r="L31" s="915" t="s">
        <v>1408</v>
      </c>
    </row>
    <row r="32" spans="1:13" ht="15.75" x14ac:dyDescent="0.2">
      <c r="A32" s="402"/>
      <c r="B32" s="325"/>
      <c r="C32" s="283">
        <v>4130</v>
      </c>
      <c r="D32" s="284" t="s">
        <v>743</v>
      </c>
      <c r="E32" s="286"/>
      <c r="F32" s="286"/>
      <c r="G32" s="848"/>
      <c r="H32" s="286">
        <v>49918</v>
      </c>
      <c r="I32" s="286">
        <v>47667.7</v>
      </c>
      <c r="J32" s="848">
        <f>I32/H32</f>
        <v>0.95492006891301728</v>
      </c>
      <c r="K32" s="908"/>
      <c r="L32" s="915"/>
    </row>
    <row r="33" spans="1:12" ht="25.5" x14ac:dyDescent="0.2">
      <c r="A33" s="402"/>
      <c r="B33" s="403">
        <v>85214</v>
      </c>
      <c r="C33" s="404"/>
      <c r="D33" s="405" t="s">
        <v>246</v>
      </c>
      <c r="E33" s="406">
        <f>E34</f>
        <v>80000</v>
      </c>
      <c r="F33" s="406">
        <f t="shared" ref="F33" si="15">F34</f>
        <v>80000</v>
      </c>
      <c r="G33" s="893">
        <f>F33/E33</f>
        <v>1</v>
      </c>
      <c r="H33" s="406">
        <f>H35</f>
        <v>80000</v>
      </c>
      <c r="I33" s="406">
        <f t="shared" ref="I33" si="16">I35</f>
        <v>80000</v>
      </c>
      <c r="J33" s="893">
        <f>I33/H33</f>
        <v>1</v>
      </c>
      <c r="K33" s="406">
        <f>K34</f>
        <v>0</v>
      </c>
      <c r="L33" s="893"/>
    </row>
    <row r="34" spans="1:12" ht="36" x14ac:dyDescent="0.2">
      <c r="A34" s="402"/>
      <c r="B34" s="277"/>
      <c r="C34" s="283">
        <v>2030</v>
      </c>
      <c r="D34" s="284" t="s">
        <v>1129</v>
      </c>
      <c r="E34" s="286">
        <v>80000</v>
      </c>
      <c r="F34" s="286">
        <v>80000</v>
      </c>
      <c r="G34" s="848">
        <f>F34/E34</f>
        <v>1</v>
      </c>
      <c r="H34" s="286"/>
      <c r="I34" s="286"/>
      <c r="J34" s="848"/>
      <c r="K34" s="908"/>
      <c r="L34" s="915"/>
    </row>
    <row r="35" spans="1:12" ht="15.75" x14ac:dyDescent="0.2">
      <c r="A35" s="402"/>
      <c r="B35" s="325"/>
      <c r="C35" s="283">
        <v>3110</v>
      </c>
      <c r="D35" s="284" t="s">
        <v>747</v>
      </c>
      <c r="E35" s="286"/>
      <c r="F35" s="286"/>
      <c r="G35" s="848"/>
      <c r="H35" s="286">
        <v>80000</v>
      </c>
      <c r="I35" s="286">
        <v>80000</v>
      </c>
      <c r="J35" s="848">
        <f>I35/H35</f>
        <v>1</v>
      </c>
      <c r="K35" s="908"/>
      <c r="L35" s="915"/>
    </row>
    <row r="36" spans="1:12" ht="15.75" x14ac:dyDescent="0.2">
      <c r="A36" s="402"/>
      <c r="B36" s="407">
        <v>85216</v>
      </c>
      <c r="C36" s="408"/>
      <c r="D36" s="409" t="s">
        <v>253</v>
      </c>
      <c r="E36" s="410">
        <f>SUM(E37:E37)</f>
        <v>410000</v>
      </c>
      <c r="F36" s="410">
        <f t="shared" ref="F36" si="17">SUM(F37:F37)</f>
        <v>403804</v>
      </c>
      <c r="G36" s="894">
        <f>F36/E36</f>
        <v>0.98488780487804883</v>
      </c>
      <c r="H36" s="411">
        <f>SUM(H38)</f>
        <v>410000</v>
      </c>
      <c r="I36" s="411">
        <f t="shared" ref="I36" si="18">SUM(I38)</f>
        <v>403804</v>
      </c>
      <c r="J36" s="899">
        <f>I36/H36</f>
        <v>0.98488780487804883</v>
      </c>
      <c r="K36" s="411">
        <f>K37</f>
        <v>0</v>
      </c>
      <c r="L36" s="899"/>
    </row>
    <row r="37" spans="1:12" ht="36" x14ac:dyDescent="0.2">
      <c r="A37" s="402"/>
      <c r="B37" s="277"/>
      <c r="C37" s="283">
        <v>2030</v>
      </c>
      <c r="D37" s="284" t="s">
        <v>1129</v>
      </c>
      <c r="E37" s="286">
        <v>410000</v>
      </c>
      <c r="F37" s="286">
        <v>403804</v>
      </c>
      <c r="G37" s="848">
        <f>F37/E37</f>
        <v>0.98488780487804883</v>
      </c>
      <c r="H37" s="286"/>
      <c r="I37" s="286"/>
      <c r="J37" s="848"/>
      <c r="K37" s="908"/>
      <c r="L37" s="915"/>
    </row>
    <row r="38" spans="1:12" ht="15.75" x14ac:dyDescent="0.2">
      <c r="A38" s="402"/>
      <c r="B38" s="402"/>
      <c r="C38" s="283">
        <v>3110</v>
      </c>
      <c r="D38" s="284" t="s">
        <v>747</v>
      </c>
      <c r="E38" s="286"/>
      <c r="F38" s="286"/>
      <c r="G38" s="848"/>
      <c r="H38" s="286">
        <v>410000</v>
      </c>
      <c r="I38" s="286">
        <v>403804</v>
      </c>
      <c r="J38" s="848">
        <f>I38/H38</f>
        <v>0.98488780487804883</v>
      </c>
      <c r="K38" s="908"/>
      <c r="L38" s="915"/>
    </row>
    <row r="39" spans="1:12" ht="15.75" x14ac:dyDescent="0.2">
      <c r="A39" s="402"/>
      <c r="B39" s="403">
        <v>85219</v>
      </c>
      <c r="C39" s="408"/>
      <c r="D39" s="409" t="s">
        <v>257</v>
      </c>
      <c r="E39" s="410">
        <f>E40</f>
        <v>180479</v>
      </c>
      <c r="F39" s="410">
        <f t="shared" ref="F39" si="19">F40</f>
        <v>179295.34</v>
      </c>
      <c r="G39" s="894">
        <f>F39/E39</f>
        <v>0.99344156383845206</v>
      </c>
      <c r="H39" s="411">
        <f>SUM(H41:H50)</f>
        <v>180479</v>
      </c>
      <c r="I39" s="411">
        <f t="shared" ref="I39" si="20">SUM(I41:I50)</f>
        <v>179295.34</v>
      </c>
      <c r="J39" s="899">
        <f>I39/H39</f>
        <v>0.99344156383845206</v>
      </c>
      <c r="K39" s="411">
        <f>K40</f>
        <v>1183.6600000000001</v>
      </c>
      <c r="L39" s="899"/>
    </row>
    <row r="40" spans="1:12" ht="36" x14ac:dyDescent="0.2">
      <c r="A40" s="402"/>
      <c r="B40" s="277"/>
      <c r="C40" s="283">
        <v>2030</v>
      </c>
      <c r="D40" s="284" t="s">
        <v>1129</v>
      </c>
      <c r="E40" s="286">
        <v>180479</v>
      </c>
      <c r="F40" s="286">
        <v>179295.34</v>
      </c>
      <c r="G40" s="848">
        <f>F40/E40</f>
        <v>0.99344156383845206</v>
      </c>
      <c r="H40" s="286"/>
      <c r="I40" s="286"/>
      <c r="J40" s="848"/>
      <c r="K40" s="908">
        <v>1183.6600000000001</v>
      </c>
      <c r="L40" s="915" t="s">
        <v>1408</v>
      </c>
    </row>
    <row r="41" spans="1:12" ht="15.75" x14ac:dyDescent="0.2">
      <c r="A41" s="402"/>
      <c r="B41" s="402"/>
      <c r="C41" s="296">
        <v>3020</v>
      </c>
      <c r="D41" s="335" t="s">
        <v>1133</v>
      </c>
      <c r="E41" s="289"/>
      <c r="F41" s="289"/>
      <c r="G41" s="850"/>
      <c r="H41" s="289">
        <v>900</v>
      </c>
      <c r="I41" s="290">
        <v>900</v>
      </c>
      <c r="J41" s="850">
        <f>I41/H41</f>
        <v>1</v>
      </c>
      <c r="K41" s="908"/>
      <c r="L41" s="915"/>
    </row>
    <row r="42" spans="1:12" ht="15.75" x14ac:dyDescent="0.2">
      <c r="A42" s="402"/>
      <c r="B42" s="402"/>
      <c r="C42" s="283">
        <v>4010</v>
      </c>
      <c r="D42" s="284" t="s">
        <v>343</v>
      </c>
      <c r="E42" s="412"/>
      <c r="F42" s="288"/>
      <c r="G42" s="849"/>
      <c r="H42" s="285">
        <v>95640</v>
      </c>
      <c r="I42" s="286">
        <v>94659.99</v>
      </c>
      <c r="J42" s="848">
        <f>I42/H42</f>
        <v>0.98975313676286081</v>
      </c>
      <c r="K42" s="908"/>
      <c r="L42" s="915"/>
    </row>
    <row r="43" spans="1:12" ht="15.75" x14ac:dyDescent="0.2">
      <c r="A43" s="413"/>
      <c r="B43" s="402"/>
      <c r="C43" s="283">
        <v>4040</v>
      </c>
      <c r="D43" s="284" t="s">
        <v>1107</v>
      </c>
      <c r="E43" s="412"/>
      <c r="F43" s="288"/>
      <c r="G43" s="849"/>
      <c r="H43" s="286">
        <v>19648</v>
      </c>
      <c r="I43" s="290">
        <v>19648</v>
      </c>
      <c r="J43" s="848">
        <f>I447/H43</f>
        <v>0</v>
      </c>
      <c r="K43" s="908"/>
      <c r="L43" s="915"/>
    </row>
    <row r="44" spans="1:12" ht="15.75" x14ac:dyDescent="0.2">
      <c r="A44" s="413"/>
      <c r="B44" s="402"/>
      <c r="C44" s="283">
        <v>4110</v>
      </c>
      <c r="D44" s="284" t="s">
        <v>346</v>
      </c>
      <c r="E44" s="412"/>
      <c r="F44" s="288"/>
      <c r="G44" s="849"/>
      <c r="H44" s="286">
        <v>20130</v>
      </c>
      <c r="I44" s="290">
        <v>19949.91</v>
      </c>
      <c r="J44" s="848">
        <f>I44/H44</f>
        <v>0.99105365126676603</v>
      </c>
      <c r="K44" s="908"/>
      <c r="L44" s="915"/>
    </row>
    <row r="45" spans="1:12" ht="15.75" x14ac:dyDescent="0.2">
      <c r="A45" s="402"/>
      <c r="B45" s="402"/>
      <c r="C45" s="296">
        <v>4120</v>
      </c>
      <c r="D45" s="335" t="s">
        <v>349</v>
      </c>
      <c r="E45" s="412"/>
      <c r="F45" s="288"/>
      <c r="G45" s="849"/>
      <c r="H45" s="289">
        <v>2824</v>
      </c>
      <c r="I45" s="290">
        <v>2800.44</v>
      </c>
      <c r="J45" s="848">
        <f t="shared" ref="J45:J50" si="21">I45/H45</f>
        <v>0.99165722379603405</v>
      </c>
      <c r="K45" s="908"/>
      <c r="L45" s="915"/>
    </row>
    <row r="46" spans="1:12" ht="15.75" x14ac:dyDescent="0.2">
      <c r="A46" s="402"/>
      <c r="B46" s="402"/>
      <c r="C46" s="283">
        <v>4210</v>
      </c>
      <c r="D46" s="284" t="s">
        <v>352</v>
      </c>
      <c r="E46" s="412"/>
      <c r="F46" s="288"/>
      <c r="G46" s="849"/>
      <c r="H46" s="286">
        <v>10000</v>
      </c>
      <c r="I46" s="290">
        <v>10000</v>
      </c>
      <c r="J46" s="848">
        <f t="shared" si="21"/>
        <v>1</v>
      </c>
      <c r="K46" s="908"/>
      <c r="L46" s="915"/>
    </row>
    <row r="47" spans="1:12" ht="15.75" x14ac:dyDescent="0.2">
      <c r="A47" s="402"/>
      <c r="B47" s="402"/>
      <c r="C47" s="283">
        <v>4260</v>
      </c>
      <c r="D47" s="284" t="s">
        <v>368</v>
      </c>
      <c r="E47" s="412"/>
      <c r="F47" s="288"/>
      <c r="G47" s="849"/>
      <c r="H47" s="286">
        <v>4000</v>
      </c>
      <c r="I47" s="290">
        <v>4000</v>
      </c>
      <c r="J47" s="848">
        <f t="shared" si="21"/>
        <v>1</v>
      </c>
      <c r="K47" s="908"/>
      <c r="L47" s="915"/>
    </row>
    <row r="48" spans="1:12" ht="15.75" x14ac:dyDescent="0.2">
      <c r="A48" s="402"/>
      <c r="B48" s="402"/>
      <c r="C48" s="283">
        <v>4300</v>
      </c>
      <c r="D48" s="284" t="s">
        <v>355</v>
      </c>
      <c r="E48" s="412"/>
      <c r="F48" s="288"/>
      <c r="G48" s="849"/>
      <c r="H48" s="286">
        <v>15977</v>
      </c>
      <c r="I48" s="290">
        <v>15977</v>
      </c>
      <c r="J48" s="848">
        <f t="shared" si="21"/>
        <v>1</v>
      </c>
      <c r="K48" s="908"/>
      <c r="L48" s="915"/>
    </row>
    <row r="49" spans="1:12" ht="15.75" x14ac:dyDescent="0.2">
      <c r="A49" s="402"/>
      <c r="B49" s="402"/>
      <c r="C49" s="283">
        <v>4440</v>
      </c>
      <c r="D49" s="284" t="s">
        <v>490</v>
      </c>
      <c r="E49" s="412"/>
      <c r="F49" s="288"/>
      <c r="G49" s="849"/>
      <c r="H49" s="286">
        <v>10360</v>
      </c>
      <c r="I49" s="290">
        <v>10360</v>
      </c>
      <c r="J49" s="848">
        <f t="shared" si="21"/>
        <v>1</v>
      </c>
      <c r="K49" s="908"/>
      <c r="L49" s="915"/>
    </row>
    <row r="50" spans="1:12" ht="27.75" customHeight="1" x14ac:dyDescent="0.2">
      <c r="A50" s="402"/>
      <c r="B50" s="325"/>
      <c r="C50" s="283">
        <v>4700</v>
      </c>
      <c r="D50" s="284" t="s">
        <v>1102</v>
      </c>
      <c r="E50" s="286"/>
      <c r="F50" s="286"/>
      <c r="G50" s="848"/>
      <c r="H50" s="286">
        <v>1000</v>
      </c>
      <c r="I50" s="286">
        <v>1000</v>
      </c>
      <c r="J50" s="848">
        <f t="shared" si="21"/>
        <v>1</v>
      </c>
      <c r="K50" s="908"/>
      <c r="L50" s="915"/>
    </row>
    <row r="51" spans="1:12" ht="15.75" x14ac:dyDescent="0.2">
      <c r="A51" s="402"/>
      <c r="B51" s="407">
        <v>85230</v>
      </c>
      <c r="C51" s="408"/>
      <c r="D51" s="409" t="s">
        <v>267</v>
      </c>
      <c r="E51" s="410">
        <f>SUM(E52:E52)</f>
        <v>195000</v>
      </c>
      <c r="F51" s="410">
        <f t="shared" ref="F51" si="22">SUM(F52:F52)</f>
        <v>195000</v>
      </c>
      <c r="G51" s="894">
        <f>F51/E51</f>
        <v>1</v>
      </c>
      <c r="H51" s="411">
        <f>SUM(H53)</f>
        <v>195000</v>
      </c>
      <c r="I51" s="411">
        <f t="shared" ref="I51" si="23">SUM(I53)</f>
        <v>195000</v>
      </c>
      <c r="J51" s="899">
        <f>I51/H51</f>
        <v>1</v>
      </c>
      <c r="K51" s="411">
        <f>K52</f>
        <v>0</v>
      </c>
      <c r="L51" s="899"/>
    </row>
    <row r="52" spans="1:12" ht="36" x14ac:dyDescent="0.2">
      <c r="A52" s="402"/>
      <c r="B52" s="277"/>
      <c r="C52" s="283">
        <v>2030</v>
      </c>
      <c r="D52" s="284" t="s">
        <v>1129</v>
      </c>
      <c r="E52" s="286">
        <v>195000</v>
      </c>
      <c r="F52" s="286">
        <v>195000</v>
      </c>
      <c r="G52" s="848">
        <f>F52/E52</f>
        <v>1</v>
      </c>
      <c r="H52" s="286"/>
      <c r="I52" s="286"/>
      <c r="J52" s="848"/>
      <c r="K52" s="908"/>
      <c r="L52" s="915"/>
    </row>
    <row r="53" spans="1:12" ht="15.75" x14ac:dyDescent="0.2">
      <c r="A53" s="402"/>
      <c r="B53" s="402"/>
      <c r="C53" s="283">
        <v>3110</v>
      </c>
      <c r="D53" s="284" t="s">
        <v>747</v>
      </c>
      <c r="E53" s="286"/>
      <c r="F53" s="286"/>
      <c r="G53" s="848"/>
      <c r="H53" s="286">
        <v>195000</v>
      </c>
      <c r="I53" s="286">
        <v>195000</v>
      </c>
      <c r="J53" s="848">
        <f>I53/H53</f>
        <v>1</v>
      </c>
      <c r="K53" s="908"/>
      <c r="L53" s="915"/>
    </row>
    <row r="54" spans="1:12" ht="15.75" x14ac:dyDescent="0.2">
      <c r="A54" s="375">
        <v>854</v>
      </c>
      <c r="B54" s="1681"/>
      <c r="C54" s="1682"/>
      <c r="D54" s="1683" t="s">
        <v>277</v>
      </c>
      <c r="E54" s="1684">
        <f>E55+E63+E66+E69+E81</f>
        <v>185033</v>
      </c>
      <c r="F54" s="1684">
        <f>F55+F63+F66+F69+F81</f>
        <v>185033</v>
      </c>
      <c r="G54" s="1685">
        <f>F54/E54</f>
        <v>1</v>
      </c>
      <c r="H54" s="1684">
        <f>H55+H63+H66+H69+H81</f>
        <v>185033</v>
      </c>
      <c r="I54" s="1684">
        <f>I55+I63+I66+I69+I81</f>
        <v>185033</v>
      </c>
      <c r="J54" s="1685">
        <f>I54/H54</f>
        <v>1</v>
      </c>
      <c r="K54" s="1661">
        <f>K55</f>
        <v>0</v>
      </c>
      <c r="L54" s="1662"/>
    </row>
    <row r="55" spans="1:12" ht="25.5" x14ac:dyDescent="0.2">
      <c r="A55" s="402"/>
      <c r="B55" s="403">
        <v>85415</v>
      </c>
      <c r="C55" s="404"/>
      <c r="D55" s="405" t="s">
        <v>279</v>
      </c>
      <c r="E55" s="406">
        <f>E56</f>
        <v>185033</v>
      </c>
      <c r="F55" s="406">
        <f t="shared" ref="F55" si="24">F56</f>
        <v>185033</v>
      </c>
      <c r="G55" s="893">
        <f>F55/E55</f>
        <v>1</v>
      </c>
      <c r="H55" s="406">
        <f>H57</f>
        <v>185033</v>
      </c>
      <c r="I55" s="406">
        <f>I57</f>
        <v>185033</v>
      </c>
      <c r="J55" s="893">
        <f>I55/H55</f>
        <v>1</v>
      </c>
      <c r="K55" s="406">
        <f>J56</f>
        <v>0</v>
      </c>
      <c r="L55" s="893"/>
    </row>
    <row r="56" spans="1:12" ht="36" x14ac:dyDescent="0.2">
      <c r="A56" s="402"/>
      <c r="B56" s="277"/>
      <c r="C56" s="283">
        <v>2030</v>
      </c>
      <c r="D56" s="284" t="s">
        <v>1129</v>
      </c>
      <c r="E56" s="286">
        <v>185033</v>
      </c>
      <c r="F56" s="286">
        <v>185033</v>
      </c>
      <c r="G56" s="848">
        <f>F56/E56</f>
        <v>1</v>
      </c>
      <c r="H56" s="286"/>
      <c r="I56" s="286"/>
      <c r="J56" s="848"/>
      <c r="K56" s="908"/>
      <c r="L56" s="915"/>
    </row>
    <row r="57" spans="1:12" ht="15.75" x14ac:dyDescent="0.2">
      <c r="A57" s="402"/>
      <c r="B57" s="402"/>
      <c r="C57" s="298">
        <v>3240</v>
      </c>
      <c r="D57" s="292" t="s">
        <v>684</v>
      </c>
      <c r="E57" s="288"/>
      <c r="F57" s="288"/>
      <c r="G57" s="849"/>
      <c r="H57" s="288">
        <v>185033</v>
      </c>
      <c r="I57" s="288">
        <v>185033</v>
      </c>
      <c r="J57" s="849">
        <f>I57/H57</f>
        <v>1</v>
      </c>
      <c r="K57" s="908"/>
      <c r="L57" s="915"/>
    </row>
    <row r="58" spans="1:12" ht="15.75" x14ac:dyDescent="0.2">
      <c r="A58" s="375">
        <v>855</v>
      </c>
      <c r="B58" s="1681"/>
      <c r="C58" s="1681"/>
      <c r="D58" s="1686" t="s">
        <v>285</v>
      </c>
      <c r="E58" s="1687">
        <f>E59</f>
        <v>20061.830000000002</v>
      </c>
      <c r="F58" s="1687">
        <f t="shared" ref="F58:I59" si="25">F59</f>
        <v>18856.63</v>
      </c>
      <c r="G58" s="1688">
        <f>F58/E58</f>
        <v>0.93992571963773985</v>
      </c>
      <c r="H58" s="1687">
        <f t="shared" si="25"/>
        <v>20061.830000000002</v>
      </c>
      <c r="I58" s="1687">
        <f t="shared" si="25"/>
        <v>18856.63</v>
      </c>
      <c r="J58" s="1688">
        <f>I58/H58</f>
        <v>0.93992571963773985</v>
      </c>
      <c r="K58" s="1651">
        <f>K59</f>
        <v>1205.2</v>
      </c>
      <c r="L58" s="1658"/>
    </row>
    <row r="59" spans="1:12" s="418" customFormat="1" ht="12.75" x14ac:dyDescent="0.2">
      <c r="A59" s="1943"/>
      <c r="B59" s="414">
        <v>85504</v>
      </c>
      <c r="C59" s="415"/>
      <c r="D59" s="416" t="s">
        <v>302</v>
      </c>
      <c r="E59" s="417">
        <f>E60</f>
        <v>20061.830000000002</v>
      </c>
      <c r="F59" s="417">
        <f t="shared" si="25"/>
        <v>18856.63</v>
      </c>
      <c r="G59" s="892">
        <f>F59/E59</f>
        <v>0.93992571963773985</v>
      </c>
      <c r="H59" s="417">
        <f>SUM(H61:H61)</f>
        <v>20061.830000000002</v>
      </c>
      <c r="I59" s="417">
        <f>SUM(I61:I61)</f>
        <v>18856.63</v>
      </c>
      <c r="J59" s="892">
        <f>I59/H59</f>
        <v>0.93992571963773985</v>
      </c>
      <c r="K59" s="912">
        <f>K60</f>
        <v>1205.2</v>
      </c>
      <c r="L59" s="919"/>
    </row>
    <row r="60" spans="1:12" s="418" customFormat="1" ht="36" x14ac:dyDescent="0.2">
      <c r="A60" s="1944"/>
      <c r="B60" s="419"/>
      <c r="C60" s="283">
        <v>2030</v>
      </c>
      <c r="D60" s="284" t="s">
        <v>1129</v>
      </c>
      <c r="E60" s="420">
        <v>20061.830000000002</v>
      </c>
      <c r="F60" s="420">
        <v>18856.63</v>
      </c>
      <c r="G60" s="895">
        <f>F60/E60</f>
        <v>0.93992571963773985</v>
      </c>
      <c r="H60" s="420"/>
      <c r="I60" s="420"/>
      <c r="J60" s="895"/>
      <c r="K60" s="913">
        <v>1205.2</v>
      </c>
      <c r="L60" s="920" t="s">
        <v>1415</v>
      </c>
    </row>
    <row r="61" spans="1:12" s="418" customFormat="1" ht="16.5" thickBot="1" x14ac:dyDescent="0.25">
      <c r="A61" s="1944"/>
      <c r="B61" s="421"/>
      <c r="C61" s="283">
        <v>4010</v>
      </c>
      <c r="D61" s="284" t="s">
        <v>343</v>
      </c>
      <c r="E61" s="422"/>
      <c r="F61" s="422"/>
      <c r="G61" s="896"/>
      <c r="H61" s="420">
        <v>20061.830000000002</v>
      </c>
      <c r="I61" s="420">
        <v>18856.63</v>
      </c>
      <c r="J61" s="895">
        <f>I61/H61</f>
        <v>0.93992571963773985</v>
      </c>
      <c r="K61" s="913"/>
      <c r="L61" s="920"/>
    </row>
    <row r="62" spans="1:12" ht="23.25" customHeight="1" thickBot="1" x14ac:dyDescent="0.25">
      <c r="A62" s="423"/>
      <c r="B62" s="423"/>
      <c r="C62" s="423"/>
      <c r="D62" s="424" t="s">
        <v>1134</v>
      </c>
      <c r="E62" s="425">
        <f>E29+E18+E54+E15+E12+E8+E58</f>
        <v>1835940.4100000001</v>
      </c>
      <c r="F62" s="425">
        <f>F29+F18+F54+F15+F12+F8+F58</f>
        <v>1816045.9</v>
      </c>
      <c r="G62" s="897">
        <f>F62/E62</f>
        <v>0.98916385853721678</v>
      </c>
      <c r="H62" s="425">
        <f>H29+H18+H54+H15+H12+H8+H58</f>
        <v>1835940.41</v>
      </c>
      <c r="I62" s="425">
        <f>I29+I18+I54+I15+I12+I8+I58</f>
        <v>1816045.8999999997</v>
      </c>
      <c r="J62" s="897">
        <f>I62/H62</f>
        <v>0.98916385853721678</v>
      </c>
      <c r="K62" s="425">
        <f>K58+K54+K29+K18</f>
        <v>12698.51</v>
      </c>
      <c r="L62" s="897"/>
    </row>
    <row r="64" spans="1:12" x14ac:dyDescent="0.2">
      <c r="K64" s="921"/>
    </row>
    <row r="65" spans="11:11" x14ac:dyDescent="0.2">
      <c r="K65" s="921"/>
    </row>
  </sheetData>
  <mergeCells count="12">
    <mergeCell ref="H1:L1"/>
    <mergeCell ref="K6:K7"/>
    <mergeCell ref="L6:L7"/>
    <mergeCell ref="A59:A61"/>
    <mergeCell ref="A4:J4"/>
    <mergeCell ref="A5:J5"/>
    <mergeCell ref="A6:A7"/>
    <mergeCell ref="B6:B7"/>
    <mergeCell ref="C6:C7"/>
    <mergeCell ref="D6:D7"/>
    <mergeCell ref="E6:G6"/>
    <mergeCell ref="H6:J6"/>
  </mergeCells>
  <pageMargins left="0.31496062992125984" right="0.31496062992125984" top="0.74803149606299213" bottom="0.35433070866141736" header="0.31496062992125984" footer="0.11811023622047245"/>
  <pageSetup paperSize="9" scale="95" orientation="landscape" r:id="rId1"/>
  <headerFooter>
    <oddFooter>Strona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6"/>
  <sheetViews>
    <sheetView topLeftCell="A76" zoomScale="115" zoomScaleNormal="115" workbookViewId="0">
      <selection activeCell="A77" sqref="A77:G78"/>
    </sheetView>
  </sheetViews>
  <sheetFormatPr defaultRowHeight="11.25" x14ac:dyDescent="0.2"/>
  <cols>
    <col min="1" max="1" width="4.28515625" style="74" customWidth="1"/>
    <col min="2" max="2" width="7.5703125" style="74" customWidth="1"/>
    <col min="3" max="3" width="5.85546875" style="74" customWidth="1"/>
    <col min="4" max="4" width="35.5703125" style="74" customWidth="1"/>
    <col min="5" max="5" width="11.7109375" style="74" customWidth="1"/>
    <col min="6" max="6" width="11.28515625" style="74" customWidth="1"/>
    <col min="7" max="7" width="8.140625" style="74" customWidth="1"/>
    <col min="8" max="16384" width="9.140625" style="74"/>
  </cols>
  <sheetData>
    <row r="1" spans="1:7" ht="23.25" customHeight="1" x14ac:dyDescent="0.2">
      <c r="A1" s="73"/>
      <c r="B1" s="73"/>
      <c r="C1" s="73"/>
      <c r="E1" s="1981" t="s">
        <v>1444</v>
      </c>
      <c r="F1" s="1981"/>
      <c r="G1" s="1981"/>
    </row>
    <row r="2" spans="1:7" ht="23.25" customHeight="1" x14ac:dyDescent="0.2">
      <c r="A2" s="1982" t="s">
        <v>1445</v>
      </c>
      <c r="B2" s="1982"/>
      <c r="C2" s="1982"/>
      <c r="D2" s="1982"/>
      <c r="E2" s="1982"/>
      <c r="F2" s="1982"/>
      <c r="G2" s="1982"/>
    </row>
    <row r="3" spans="1:7" ht="27.75" customHeight="1" x14ac:dyDescent="0.2">
      <c r="A3" s="1982" t="s">
        <v>1055</v>
      </c>
      <c r="B3" s="1982"/>
      <c r="C3" s="1982"/>
      <c r="D3" s="1982"/>
      <c r="E3" s="1982"/>
      <c r="F3" s="1982"/>
      <c r="G3" s="1982"/>
    </row>
    <row r="4" spans="1:7" ht="47.25" customHeight="1" x14ac:dyDescent="0.2">
      <c r="A4" s="1085" t="s">
        <v>0</v>
      </c>
      <c r="B4" s="1085" t="s">
        <v>1</v>
      </c>
      <c r="C4" s="1086" t="s">
        <v>1056</v>
      </c>
      <c r="D4" s="1087" t="s">
        <v>3</v>
      </c>
      <c r="E4" s="1088" t="s">
        <v>1447</v>
      </c>
      <c r="F4" s="1089" t="s">
        <v>1446</v>
      </c>
      <c r="G4" s="1090" t="s">
        <v>1357</v>
      </c>
    </row>
    <row r="5" spans="1:7" s="76" customFormat="1" ht="32.25" customHeight="1" thickBot="1" x14ac:dyDescent="0.3">
      <c r="A5" s="1091" t="s">
        <v>1057</v>
      </c>
      <c r="B5" s="1957" t="s">
        <v>1058</v>
      </c>
      <c r="C5" s="1957"/>
      <c r="D5" s="1957"/>
      <c r="E5" s="75">
        <f>E6+E14+E37</f>
        <v>4174011.6</v>
      </c>
      <c r="F5" s="75">
        <f>F6+F14+F37</f>
        <v>4086373.42</v>
      </c>
      <c r="G5" s="1044">
        <f t="shared" ref="G5:G18" si="0">F5/E5</f>
        <v>0.97900384847996103</v>
      </c>
    </row>
    <row r="6" spans="1:7" ht="24" customHeight="1" x14ac:dyDescent="0.2">
      <c r="A6" s="1092" t="s">
        <v>1059</v>
      </c>
      <c r="B6" s="1983" t="s">
        <v>1060</v>
      </c>
      <c r="C6" s="1983"/>
      <c r="D6" s="1983"/>
      <c r="E6" s="77">
        <f>E7</f>
        <v>1847000</v>
      </c>
      <c r="F6" s="77">
        <f t="shared" ref="F6" si="1">F7</f>
        <v>1847000</v>
      </c>
      <c r="G6" s="1045">
        <f t="shared" si="0"/>
        <v>1</v>
      </c>
    </row>
    <row r="7" spans="1:7" s="78" customFormat="1" ht="24" x14ac:dyDescent="0.25">
      <c r="A7" s="1093">
        <v>921</v>
      </c>
      <c r="B7" s="1094"/>
      <c r="C7" s="1095"/>
      <c r="D7" s="1096" t="s">
        <v>318</v>
      </c>
      <c r="E7" s="1097">
        <f>E8+E10+E12</f>
        <v>1847000</v>
      </c>
      <c r="F7" s="1097">
        <f t="shared" ref="F7" si="2">F8+F10+F12</f>
        <v>1847000</v>
      </c>
      <c r="G7" s="1098">
        <f t="shared" si="0"/>
        <v>1</v>
      </c>
    </row>
    <row r="8" spans="1:7" s="78" customFormat="1" ht="12" x14ac:dyDescent="0.25">
      <c r="A8" s="1984"/>
      <c r="B8" s="1099">
        <v>92109</v>
      </c>
      <c r="C8" s="1100"/>
      <c r="D8" s="1101" t="s">
        <v>320</v>
      </c>
      <c r="E8" s="1102">
        <f>E9</f>
        <v>1028680</v>
      </c>
      <c r="F8" s="1102">
        <f t="shared" ref="F8" si="3">F9</f>
        <v>1028680</v>
      </c>
      <c r="G8" s="1103">
        <f t="shared" si="0"/>
        <v>1</v>
      </c>
    </row>
    <row r="9" spans="1:7" s="78" customFormat="1" ht="24" x14ac:dyDescent="0.25">
      <c r="A9" s="1985"/>
      <c r="B9" s="1104"/>
      <c r="C9" s="1105">
        <v>2480</v>
      </c>
      <c r="D9" s="1106" t="s">
        <v>888</v>
      </c>
      <c r="E9" s="1107">
        <v>1028680</v>
      </c>
      <c r="F9" s="1108">
        <v>1028680</v>
      </c>
      <c r="G9" s="1109">
        <f t="shared" si="0"/>
        <v>1</v>
      </c>
    </row>
    <row r="10" spans="1:7" s="78" customFormat="1" ht="12" x14ac:dyDescent="0.25">
      <c r="A10" s="1985"/>
      <c r="B10" s="1099">
        <v>92116</v>
      </c>
      <c r="C10" s="1100"/>
      <c r="D10" s="1101" t="s">
        <v>898</v>
      </c>
      <c r="E10" s="1102">
        <f>E11</f>
        <v>319620</v>
      </c>
      <c r="F10" s="1102">
        <f>F11</f>
        <v>319620</v>
      </c>
      <c r="G10" s="1103">
        <f t="shared" si="0"/>
        <v>1</v>
      </c>
    </row>
    <row r="11" spans="1:7" s="78" customFormat="1" ht="24" x14ac:dyDescent="0.25">
      <c r="A11" s="1985"/>
      <c r="B11" s="1104"/>
      <c r="C11" s="1105">
        <v>2480</v>
      </c>
      <c r="D11" s="1106" t="s">
        <v>888</v>
      </c>
      <c r="E11" s="1107">
        <v>319620</v>
      </c>
      <c r="F11" s="1108">
        <v>319620</v>
      </c>
      <c r="G11" s="1109">
        <f t="shared" si="0"/>
        <v>1</v>
      </c>
    </row>
    <row r="12" spans="1:7" s="78" customFormat="1" ht="12" x14ac:dyDescent="0.25">
      <c r="A12" s="1985"/>
      <c r="B12" s="1099">
        <v>92118</v>
      </c>
      <c r="C12" s="80"/>
      <c r="D12" s="1110" t="s">
        <v>902</v>
      </c>
      <c r="E12" s="1111">
        <f>E13</f>
        <v>498700</v>
      </c>
      <c r="F12" s="1112">
        <f>F13</f>
        <v>498700</v>
      </c>
      <c r="G12" s="1113">
        <f t="shared" si="0"/>
        <v>1</v>
      </c>
    </row>
    <row r="13" spans="1:7" s="78" customFormat="1" ht="24.75" thickBot="1" x14ac:dyDescent="0.3">
      <c r="A13" s="1986"/>
      <c r="B13" s="1114"/>
      <c r="C13" s="1115">
        <v>2480</v>
      </c>
      <c r="D13" s="1116" t="s">
        <v>888</v>
      </c>
      <c r="E13" s="1117">
        <v>498700</v>
      </c>
      <c r="F13" s="1118">
        <v>498700</v>
      </c>
      <c r="G13" s="1119">
        <f t="shared" si="0"/>
        <v>1</v>
      </c>
    </row>
    <row r="14" spans="1:7" ht="21" customHeight="1" x14ac:dyDescent="0.2">
      <c r="A14" s="1120" t="s">
        <v>1061</v>
      </c>
      <c r="B14" s="1987" t="s">
        <v>1062</v>
      </c>
      <c r="C14" s="1987"/>
      <c r="D14" s="1987"/>
      <c r="E14" s="1121">
        <f>E15+E18+E27+E30</f>
        <v>1769160</v>
      </c>
      <c r="F14" s="1121">
        <f t="shared" ref="F14" si="4">F15+F18+F27+F30</f>
        <v>1685736.62</v>
      </c>
      <c r="G14" s="1122">
        <f t="shared" si="0"/>
        <v>0.95284576861335324</v>
      </c>
    </row>
    <row r="15" spans="1:7" ht="21" customHeight="1" x14ac:dyDescent="0.2">
      <c r="A15" s="1123">
        <v>600</v>
      </c>
      <c r="B15" s="82"/>
      <c r="C15" s="82"/>
      <c r="D15" s="83" t="s">
        <v>1063</v>
      </c>
      <c r="E15" s="84">
        <f>E16</f>
        <v>264500</v>
      </c>
      <c r="F15" s="84">
        <f t="shared" ref="F15:F16" si="5">F16</f>
        <v>262840.84000000003</v>
      </c>
      <c r="G15" s="1047">
        <f t="shared" si="0"/>
        <v>0.99372718336483945</v>
      </c>
    </row>
    <row r="16" spans="1:7" ht="21" customHeight="1" x14ac:dyDescent="0.2">
      <c r="A16" s="1988"/>
      <c r="B16" s="85">
        <v>60004</v>
      </c>
      <c r="C16" s="85"/>
      <c r="D16" s="86" t="s">
        <v>372</v>
      </c>
      <c r="E16" s="87">
        <f>E17</f>
        <v>264500</v>
      </c>
      <c r="F16" s="87">
        <f t="shared" si="5"/>
        <v>262840.84000000003</v>
      </c>
      <c r="G16" s="1124">
        <f t="shared" si="0"/>
        <v>0.99372718336483945</v>
      </c>
    </row>
    <row r="17" spans="1:7" ht="48" x14ac:dyDescent="0.2">
      <c r="A17" s="1989"/>
      <c r="B17" s="88"/>
      <c r="C17" s="89">
        <v>2310</v>
      </c>
      <c r="D17" s="1125" t="s">
        <v>1064</v>
      </c>
      <c r="E17" s="90">
        <v>264500</v>
      </c>
      <c r="F17" s="91">
        <v>262840.84000000003</v>
      </c>
      <c r="G17" s="1126">
        <f t="shared" si="0"/>
        <v>0.99372718336483945</v>
      </c>
    </row>
    <row r="18" spans="1:7" ht="12" x14ac:dyDescent="0.2">
      <c r="A18" s="1123">
        <v>801</v>
      </c>
      <c r="B18" s="81"/>
      <c r="C18" s="81"/>
      <c r="D18" s="92" t="s">
        <v>185</v>
      </c>
      <c r="E18" s="93">
        <f>E19+E21+E23+E25</f>
        <v>1346900</v>
      </c>
      <c r="F18" s="93">
        <f t="shared" ref="F18" si="6">F19+F21+F23+F25</f>
        <v>1292931.06</v>
      </c>
      <c r="G18" s="1127">
        <f t="shared" si="0"/>
        <v>0.95993099710446217</v>
      </c>
    </row>
    <row r="19" spans="1:7" ht="12" x14ac:dyDescent="0.2">
      <c r="A19" s="1990"/>
      <c r="B19" s="94">
        <v>80101</v>
      </c>
      <c r="C19" s="95"/>
      <c r="D19" s="96" t="s">
        <v>187</v>
      </c>
      <c r="E19" s="97">
        <f>E20</f>
        <v>0</v>
      </c>
      <c r="F19" s="1128">
        <f t="shared" ref="F19" si="7">F20</f>
        <v>0</v>
      </c>
      <c r="G19" s="1129">
        <v>0</v>
      </c>
    </row>
    <row r="20" spans="1:7" ht="48" x14ac:dyDescent="0.2">
      <c r="A20" s="1991"/>
      <c r="B20" s="98"/>
      <c r="C20" s="99">
        <v>2310</v>
      </c>
      <c r="D20" s="1125" t="s">
        <v>1064</v>
      </c>
      <c r="E20" s="100">
        <v>0</v>
      </c>
      <c r="F20" s="91">
        <v>0</v>
      </c>
      <c r="G20" s="1130">
        <v>0</v>
      </c>
    </row>
    <row r="21" spans="1:7" ht="24" x14ac:dyDescent="0.2">
      <c r="A21" s="1991"/>
      <c r="B21" s="94">
        <v>80103</v>
      </c>
      <c r="C21" s="94"/>
      <c r="D21" s="96" t="s">
        <v>192</v>
      </c>
      <c r="E21" s="101">
        <f>E22</f>
        <v>0</v>
      </c>
      <c r="F21" s="101">
        <f t="shared" ref="F21" si="8">F22</f>
        <v>0</v>
      </c>
      <c r="G21" s="1129">
        <v>0</v>
      </c>
    </row>
    <row r="22" spans="1:7" ht="48" x14ac:dyDescent="0.2">
      <c r="A22" s="1991"/>
      <c r="B22" s="98"/>
      <c r="C22" s="99">
        <v>2310</v>
      </c>
      <c r="D22" s="1125" t="s">
        <v>1064</v>
      </c>
      <c r="E22" s="100">
        <v>0</v>
      </c>
      <c r="F22" s="91">
        <v>0</v>
      </c>
      <c r="G22" s="1130">
        <v>0</v>
      </c>
    </row>
    <row r="23" spans="1:7" ht="12" x14ac:dyDescent="0.2">
      <c r="A23" s="1991"/>
      <c r="B23" s="85">
        <v>80104</v>
      </c>
      <c r="C23" s="85"/>
      <c r="D23" s="102" t="s">
        <v>1065</v>
      </c>
      <c r="E23" s="103">
        <f>E24</f>
        <v>46900</v>
      </c>
      <c r="F23" s="103">
        <f t="shared" ref="F23" si="9">F24</f>
        <v>44076.29</v>
      </c>
      <c r="G23" s="1124">
        <f t="shared" ref="G23:G30" si="10">F23/E23</f>
        <v>0.9397929637526653</v>
      </c>
    </row>
    <row r="24" spans="1:7" ht="48" x14ac:dyDescent="0.2">
      <c r="A24" s="1991"/>
      <c r="B24" s="88"/>
      <c r="C24" s="89">
        <v>2310</v>
      </c>
      <c r="D24" s="1125" t="s">
        <v>1064</v>
      </c>
      <c r="E24" s="104">
        <v>46900</v>
      </c>
      <c r="F24" s="1131">
        <v>44076.29</v>
      </c>
      <c r="G24" s="1132">
        <f t="shared" si="10"/>
        <v>0.9397929637526653</v>
      </c>
    </row>
    <row r="25" spans="1:7" s="78" customFormat="1" ht="12" x14ac:dyDescent="0.25">
      <c r="A25" s="1991"/>
      <c r="B25" s="1099">
        <v>80110</v>
      </c>
      <c r="C25" s="1100"/>
      <c r="D25" s="1101" t="s">
        <v>209</v>
      </c>
      <c r="E25" s="1102">
        <f>E26</f>
        <v>1300000</v>
      </c>
      <c r="F25" s="1102">
        <f t="shared" ref="F25" si="11">F26</f>
        <v>1248854.77</v>
      </c>
      <c r="G25" s="1103">
        <f t="shared" si="10"/>
        <v>0.96065751538461541</v>
      </c>
    </row>
    <row r="26" spans="1:7" s="78" customFormat="1" ht="48" x14ac:dyDescent="0.25">
      <c r="A26" s="1992"/>
      <c r="B26" s="1133"/>
      <c r="C26" s="1134">
        <v>2320</v>
      </c>
      <c r="D26" s="1125" t="s">
        <v>1066</v>
      </c>
      <c r="E26" s="1135">
        <v>1300000</v>
      </c>
      <c r="F26" s="1136">
        <v>1248854.77</v>
      </c>
      <c r="G26" s="1137">
        <f t="shared" si="10"/>
        <v>0.96065751538461541</v>
      </c>
    </row>
    <row r="27" spans="1:7" s="78" customFormat="1" ht="12" x14ac:dyDescent="0.25">
      <c r="A27" s="1093">
        <v>851</v>
      </c>
      <c r="B27" s="1094"/>
      <c r="C27" s="1095"/>
      <c r="D27" s="1096" t="s">
        <v>715</v>
      </c>
      <c r="E27" s="1097">
        <f>E28</f>
        <v>13910</v>
      </c>
      <c r="F27" s="1097">
        <f t="shared" ref="F27" si="12">F28</f>
        <v>13910</v>
      </c>
      <c r="G27" s="1098">
        <f t="shared" si="10"/>
        <v>1</v>
      </c>
    </row>
    <row r="28" spans="1:7" s="78" customFormat="1" ht="12" x14ac:dyDescent="0.25">
      <c r="A28" s="1138"/>
      <c r="B28" s="1099">
        <v>85154</v>
      </c>
      <c r="C28" s="1100"/>
      <c r="D28" s="1101" t="s">
        <v>724</v>
      </c>
      <c r="E28" s="1102">
        <f>SUM(E29:E29)</f>
        <v>13910</v>
      </c>
      <c r="F28" s="1102">
        <f t="shared" ref="F28" si="13">SUM(F29:F29)</f>
        <v>13910</v>
      </c>
      <c r="G28" s="1103">
        <f t="shared" si="10"/>
        <v>1</v>
      </c>
    </row>
    <row r="29" spans="1:7" s="78" customFormat="1" ht="48" x14ac:dyDescent="0.25">
      <c r="A29" s="1139"/>
      <c r="B29" s="1133"/>
      <c r="C29" s="105">
        <v>2710</v>
      </c>
      <c r="D29" s="106" t="s">
        <v>1067</v>
      </c>
      <c r="E29" s="107">
        <v>13910</v>
      </c>
      <c r="F29" s="108">
        <v>13910</v>
      </c>
      <c r="G29" s="1140">
        <f t="shared" si="10"/>
        <v>1</v>
      </c>
    </row>
    <row r="30" spans="1:7" s="78" customFormat="1" ht="24" x14ac:dyDescent="0.25">
      <c r="A30" s="1141">
        <v>900</v>
      </c>
      <c r="B30" s="1142"/>
      <c r="C30" s="109"/>
      <c r="D30" s="1143" t="s">
        <v>309</v>
      </c>
      <c r="E30" s="1144">
        <f>E33+E35+E31</f>
        <v>143850</v>
      </c>
      <c r="F30" s="1144">
        <f t="shared" ref="F30" si="14">F33+F35+F31</f>
        <v>116054.72</v>
      </c>
      <c r="G30" s="1145">
        <f t="shared" si="10"/>
        <v>0.80677594716718803</v>
      </c>
    </row>
    <row r="31" spans="1:7" s="78" customFormat="1" ht="12" x14ac:dyDescent="0.25">
      <c r="A31" s="1962"/>
      <c r="B31" s="110">
        <v>90001</v>
      </c>
      <c r="C31" s="111"/>
      <c r="D31" s="112" t="s">
        <v>845</v>
      </c>
      <c r="E31" s="113">
        <f>E32</f>
        <v>0</v>
      </c>
      <c r="F31" s="113">
        <f t="shared" ref="F31" si="15">F32</f>
        <v>0</v>
      </c>
      <c r="G31" s="1146">
        <v>0</v>
      </c>
    </row>
    <row r="32" spans="1:7" s="78" customFormat="1" ht="48" x14ac:dyDescent="0.25">
      <c r="A32" s="1999"/>
      <c r="B32" s="114"/>
      <c r="C32" s="105">
        <v>2710</v>
      </c>
      <c r="D32" s="106" t="s">
        <v>1067</v>
      </c>
      <c r="E32" s="115">
        <v>0</v>
      </c>
      <c r="F32" s="108">
        <v>0</v>
      </c>
      <c r="G32" s="1147">
        <v>0</v>
      </c>
    </row>
    <row r="33" spans="1:7" s="78" customFormat="1" ht="12" x14ac:dyDescent="0.25">
      <c r="A33" s="1999"/>
      <c r="B33" s="116">
        <v>90002</v>
      </c>
      <c r="C33" s="117"/>
      <c r="D33" s="118" t="s">
        <v>311</v>
      </c>
      <c r="E33" s="119">
        <f>E34</f>
        <v>30000</v>
      </c>
      <c r="F33" s="119">
        <f t="shared" ref="F33" si="16">F34</f>
        <v>7004.72</v>
      </c>
      <c r="G33" s="1148">
        <f t="shared" ref="G33:G69" si="17">F33/E33</f>
        <v>0.23349066666666668</v>
      </c>
    </row>
    <row r="34" spans="1:7" s="78" customFormat="1" ht="48" x14ac:dyDescent="0.25">
      <c r="A34" s="1999"/>
      <c r="B34" s="120"/>
      <c r="C34" s="121">
        <v>2320</v>
      </c>
      <c r="D34" s="122" t="s">
        <v>1068</v>
      </c>
      <c r="E34" s="123">
        <v>30000</v>
      </c>
      <c r="F34" s="1043">
        <v>7004.72</v>
      </c>
      <c r="G34" s="1149">
        <f t="shared" si="17"/>
        <v>0.23349066666666668</v>
      </c>
    </row>
    <row r="35" spans="1:7" s="78" customFormat="1" ht="12" x14ac:dyDescent="0.25">
      <c r="A35" s="1999"/>
      <c r="B35" s="1150">
        <v>90013</v>
      </c>
      <c r="C35" s="1151"/>
      <c r="D35" s="1152" t="s">
        <v>868</v>
      </c>
      <c r="E35" s="1153">
        <f>E36</f>
        <v>113850</v>
      </c>
      <c r="F35" s="1153">
        <f t="shared" ref="F35" si="18">F36</f>
        <v>109050</v>
      </c>
      <c r="G35" s="1154">
        <f t="shared" si="17"/>
        <v>0.95783926218708826</v>
      </c>
    </row>
    <row r="36" spans="1:7" s="78" customFormat="1" ht="48" x14ac:dyDescent="0.25">
      <c r="A36" s="2000"/>
      <c r="B36" s="124"/>
      <c r="C36" s="125">
        <v>2310</v>
      </c>
      <c r="D36" s="126" t="s">
        <v>1064</v>
      </c>
      <c r="E36" s="127">
        <v>113850</v>
      </c>
      <c r="F36" s="128">
        <v>109050</v>
      </c>
      <c r="G36" s="1155">
        <f t="shared" si="17"/>
        <v>0.95783926218708826</v>
      </c>
    </row>
    <row r="37" spans="1:7" s="78" customFormat="1" ht="12.75" x14ac:dyDescent="0.25">
      <c r="A37" s="1156" t="s">
        <v>1069</v>
      </c>
      <c r="B37" s="1994" t="s">
        <v>1070</v>
      </c>
      <c r="C37" s="1994"/>
      <c r="D37" s="1994"/>
      <c r="E37" s="129">
        <f>E38+E41</f>
        <v>557851.6</v>
      </c>
      <c r="F37" s="129">
        <f t="shared" ref="F37" si="19">F38+F41</f>
        <v>553636.80000000005</v>
      </c>
      <c r="G37" s="1157">
        <f t="shared" si="17"/>
        <v>0.99244458562097893</v>
      </c>
    </row>
    <row r="38" spans="1:7" s="78" customFormat="1" ht="12" x14ac:dyDescent="0.25">
      <c r="A38" s="1158">
        <v>700</v>
      </c>
      <c r="B38" s="131"/>
      <c r="C38" s="132"/>
      <c r="D38" s="133" t="s">
        <v>35</v>
      </c>
      <c r="E38" s="134">
        <f>E39</f>
        <v>407851.6</v>
      </c>
      <c r="F38" s="134">
        <f t="shared" ref="F38:F39" si="20">F39</f>
        <v>403636.8</v>
      </c>
      <c r="G38" s="1159">
        <f t="shared" si="17"/>
        <v>0.98966584904901689</v>
      </c>
    </row>
    <row r="39" spans="1:7" s="78" customFormat="1" ht="12" x14ac:dyDescent="0.25">
      <c r="A39" s="1995"/>
      <c r="B39" s="135">
        <v>70001</v>
      </c>
      <c r="C39" s="136"/>
      <c r="D39" s="137" t="s">
        <v>1071</v>
      </c>
      <c r="E39" s="138">
        <f>E40</f>
        <v>407851.6</v>
      </c>
      <c r="F39" s="138">
        <f t="shared" si="20"/>
        <v>403636.8</v>
      </c>
      <c r="G39" s="1160">
        <f t="shared" si="17"/>
        <v>0.98966584904901689</v>
      </c>
    </row>
    <row r="40" spans="1:7" s="78" customFormat="1" ht="24" x14ac:dyDescent="0.25">
      <c r="A40" s="1996"/>
      <c r="B40" s="139"/>
      <c r="C40" s="140">
        <v>2650</v>
      </c>
      <c r="D40" s="141" t="s">
        <v>402</v>
      </c>
      <c r="E40" s="107">
        <v>407851.6</v>
      </c>
      <c r="F40" s="108">
        <v>403636.8</v>
      </c>
      <c r="G40" s="1140">
        <f t="shared" si="17"/>
        <v>0.98966584904901689</v>
      </c>
    </row>
    <row r="41" spans="1:7" s="78" customFormat="1" ht="12" x14ac:dyDescent="0.25">
      <c r="A41" s="1093">
        <v>852</v>
      </c>
      <c r="B41" s="1094"/>
      <c r="C41" s="1095"/>
      <c r="D41" s="1096" t="s">
        <v>235</v>
      </c>
      <c r="E41" s="1097">
        <f>E42</f>
        <v>150000</v>
      </c>
      <c r="F41" s="1097">
        <f t="shared" ref="F41" si="21">F42</f>
        <v>150000</v>
      </c>
      <c r="G41" s="1098">
        <f t="shared" si="17"/>
        <v>1</v>
      </c>
    </row>
    <row r="42" spans="1:7" s="78" customFormat="1" ht="12" x14ac:dyDescent="0.25">
      <c r="A42" s="1138"/>
      <c r="B42" s="1161">
        <v>85232</v>
      </c>
      <c r="C42" s="1100"/>
      <c r="D42" s="1101" t="s">
        <v>768</v>
      </c>
      <c r="E42" s="1102">
        <f>E43</f>
        <v>150000</v>
      </c>
      <c r="F42" s="1102">
        <f>F43</f>
        <v>150000</v>
      </c>
      <c r="G42" s="1103">
        <f t="shared" si="17"/>
        <v>1</v>
      </c>
    </row>
    <row r="43" spans="1:7" s="78" customFormat="1" ht="24" x14ac:dyDescent="0.25">
      <c r="A43" s="124"/>
      <c r="B43" s="1133"/>
      <c r="C43" s="1134">
        <v>2650</v>
      </c>
      <c r="D43" s="141" t="s">
        <v>402</v>
      </c>
      <c r="E43" s="1135">
        <v>150000</v>
      </c>
      <c r="F43" s="128">
        <v>150000</v>
      </c>
      <c r="G43" s="1137">
        <f t="shared" si="17"/>
        <v>1</v>
      </c>
    </row>
    <row r="44" spans="1:7" s="76" customFormat="1" ht="24" customHeight="1" thickBot="1" x14ac:dyDescent="0.3">
      <c r="A44" s="1091" t="s">
        <v>1072</v>
      </c>
      <c r="B44" s="1997" t="s">
        <v>1073</v>
      </c>
      <c r="C44" s="1997"/>
      <c r="D44" s="1997"/>
      <c r="E44" s="75">
        <f>E45+E55</f>
        <v>2955179.3000000003</v>
      </c>
      <c r="F44" s="75">
        <f t="shared" ref="F44" si="22">F45+F55</f>
        <v>2719145.13</v>
      </c>
      <c r="G44" s="1044">
        <f t="shared" si="17"/>
        <v>0.92012864667805427</v>
      </c>
    </row>
    <row r="45" spans="1:7" ht="24" customHeight="1" x14ac:dyDescent="0.2">
      <c r="A45" s="1162" t="s">
        <v>1074</v>
      </c>
      <c r="B45" s="1998" t="s">
        <v>1060</v>
      </c>
      <c r="C45" s="1998"/>
      <c r="D45" s="1998"/>
      <c r="E45" s="77">
        <f>E46</f>
        <v>2127407.4700000002</v>
      </c>
      <c r="F45" s="77">
        <f t="shared" ref="F45" si="23">F46</f>
        <v>1986159.6</v>
      </c>
      <c r="G45" s="1045">
        <f t="shared" si="17"/>
        <v>0.93360563409133834</v>
      </c>
    </row>
    <row r="46" spans="1:7" s="78" customFormat="1" ht="12" x14ac:dyDescent="0.25">
      <c r="A46" s="1093">
        <v>801</v>
      </c>
      <c r="B46" s="1094"/>
      <c r="C46" s="1095"/>
      <c r="D46" s="1096" t="s">
        <v>185</v>
      </c>
      <c r="E46" s="142">
        <f>E47+E49+E51+E53</f>
        <v>2127407.4700000002</v>
      </c>
      <c r="F46" s="142">
        <f t="shared" ref="F46" si="24">F47+F49+F51+F53</f>
        <v>1986159.6</v>
      </c>
      <c r="G46" s="1163">
        <f t="shared" si="17"/>
        <v>0.93360563409133834</v>
      </c>
    </row>
    <row r="47" spans="1:7" s="78" customFormat="1" ht="12" x14ac:dyDescent="0.25">
      <c r="A47" s="1984"/>
      <c r="B47" s="1099">
        <v>80104</v>
      </c>
      <c r="C47" s="1100"/>
      <c r="D47" s="1101" t="s">
        <v>1065</v>
      </c>
      <c r="E47" s="1102">
        <f>E48</f>
        <v>1381130.23</v>
      </c>
      <c r="F47" s="1102">
        <f t="shared" ref="F47" si="25">F48</f>
        <v>1270685.3600000001</v>
      </c>
      <c r="G47" s="1103">
        <f t="shared" si="17"/>
        <v>0.92003297907685366</v>
      </c>
    </row>
    <row r="48" spans="1:7" s="78" customFormat="1" ht="24" x14ac:dyDescent="0.25">
      <c r="A48" s="1985"/>
      <c r="B48" s="1164"/>
      <c r="C48" s="1105">
        <v>2540</v>
      </c>
      <c r="D48" s="1106" t="s">
        <v>600</v>
      </c>
      <c r="E48" s="1107">
        <v>1381130.23</v>
      </c>
      <c r="F48" s="1108">
        <v>1270685.3600000001</v>
      </c>
      <c r="G48" s="1109">
        <f t="shared" si="17"/>
        <v>0.92003297907685366</v>
      </c>
    </row>
    <row r="49" spans="1:7" s="78" customFormat="1" ht="12" x14ac:dyDescent="0.25">
      <c r="A49" s="1985"/>
      <c r="B49" s="1099">
        <v>80110</v>
      </c>
      <c r="C49" s="1100"/>
      <c r="D49" s="1101" t="s">
        <v>209</v>
      </c>
      <c r="E49" s="1102">
        <f>E50</f>
        <v>616953</v>
      </c>
      <c r="F49" s="1102">
        <f t="shared" ref="F49" si="26">F50</f>
        <v>586150</v>
      </c>
      <c r="G49" s="1103">
        <f t="shared" si="17"/>
        <v>0.95007237180141757</v>
      </c>
    </row>
    <row r="50" spans="1:7" s="78" customFormat="1" ht="24" x14ac:dyDescent="0.25">
      <c r="A50" s="1985"/>
      <c r="B50" s="1164"/>
      <c r="C50" s="1105">
        <v>2540</v>
      </c>
      <c r="D50" s="1106" t="s">
        <v>600</v>
      </c>
      <c r="E50" s="1107">
        <v>616953</v>
      </c>
      <c r="F50" s="1108">
        <v>586150</v>
      </c>
      <c r="G50" s="1109">
        <f t="shared" si="17"/>
        <v>0.95007237180141757</v>
      </c>
    </row>
    <row r="51" spans="1:7" s="78" customFormat="1" ht="60" x14ac:dyDescent="0.25">
      <c r="A51" s="1985"/>
      <c r="B51" s="1099">
        <v>80149</v>
      </c>
      <c r="C51" s="1100"/>
      <c r="D51" s="1101" t="s">
        <v>1075</v>
      </c>
      <c r="E51" s="1102">
        <f>E52</f>
        <v>112492.24</v>
      </c>
      <c r="F51" s="1102">
        <f t="shared" ref="F51" si="27">F52</f>
        <v>112492.24</v>
      </c>
      <c r="G51" s="1103">
        <f t="shared" si="17"/>
        <v>1</v>
      </c>
    </row>
    <row r="52" spans="1:7" s="78" customFormat="1" ht="24" x14ac:dyDescent="0.25">
      <c r="A52" s="1985"/>
      <c r="B52" s="1164"/>
      <c r="C52" s="1105">
        <v>2540</v>
      </c>
      <c r="D52" s="1106" t="s">
        <v>600</v>
      </c>
      <c r="E52" s="1107">
        <v>112492.24</v>
      </c>
      <c r="F52" s="1108">
        <v>112492.24</v>
      </c>
      <c r="G52" s="1109">
        <f t="shared" si="17"/>
        <v>1</v>
      </c>
    </row>
    <row r="53" spans="1:7" s="78" customFormat="1" ht="84" x14ac:dyDescent="0.25">
      <c r="A53" s="1985"/>
      <c r="B53" s="1099">
        <v>80150</v>
      </c>
      <c r="C53" s="1100"/>
      <c r="D53" s="1101" t="s">
        <v>1076</v>
      </c>
      <c r="E53" s="1102">
        <f>E54</f>
        <v>16832</v>
      </c>
      <c r="F53" s="1102">
        <f t="shared" ref="F53" si="28">F54</f>
        <v>16832</v>
      </c>
      <c r="G53" s="1103">
        <f t="shared" si="17"/>
        <v>1</v>
      </c>
    </row>
    <row r="54" spans="1:7" s="78" customFormat="1" ht="24" x14ac:dyDescent="0.25">
      <c r="A54" s="1993"/>
      <c r="B54" s="1164"/>
      <c r="C54" s="1105">
        <v>2540</v>
      </c>
      <c r="D54" s="1106" t="s">
        <v>600</v>
      </c>
      <c r="E54" s="1107">
        <v>16832</v>
      </c>
      <c r="F54" s="1108">
        <v>16832</v>
      </c>
      <c r="G54" s="1109">
        <f t="shared" si="17"/>
        <v>1</v>
      </c>
    </row>
    <row r="55" spans="1:7" ht="23.25" customHeight="1" x14ac:dyDescent="0.2">
      <c r="A55" s="1165" t="s">
        <v>1061</v>
      </c>
      <c r="B55" s="1967" t="s">
        <v>1077</v>
      </c>
      <c r="C55" s="1967"/>
      <c r="D55" s="1967"/>
      <c r="E55" s="143">
        <f>E56+E59+E71+E79+E84+E64+E76</f>
        <v>827771.83</v>
      </c>
      <c r="F55" s="143">
        <f>F56+F59+F71+F79+F84+F64+F76</f>
        <v>732985.53</v>
      </c>
      <c r="G55" s="1046">
        <f t="shared" si="17"/>
        <v>0.88549223763751428</v>
      </c>
    </row>
    <row r="56" spans="1:7" s="78" customFormat="1" ht="12" x14ac:dyDescent="0.25">
      <c r="A56" s="1166" t="s">
        <v>5</v>
      </c>
      <c r="B56" s="1094"/>
      <c r="C56" s="1095"/>
      <c r="D56" s="1096" t="s">
        <v>6</v>
      </c>
      <c r="E56" s="1097">
        <f>E57</f>
        <v>20000</v>
      </c>
      <c r="F56" s="1097">
        <f t="shared" ref="F56:F57" si="29">F57</f>
        <v>20000</v>
      </c>
      <c r="G56" s="1098">
        <f t="shared" si="17"/>
        <v>1</v>
      </c>
    </row>
    <row r="57" spans="1:7" s="78" customFormat="1" ht="12" x14ac:dyDescent="0.25">
      <c r="A57" s="1968"/>
      <c r="B57" s="1167" t="s">
        <v>329</v>
      </c>
      <c r="C57" s="1100"/>
      <c r="D57" s="1101" t="s">
        <v>330</v>
      </c>
      <c r="E57" s="1102">
        <f>E58</f>
        <v>20000</v>
      </c>
      <c r="F57" s="1111">
        <f t="shared" si="29"/>
        <v>20000</v>
      </c>
      <c r="G57" s="1103">
        <f t="shared" si="17"/>
        <v>1</v>
      </c>
    </row>
    <row r="58" spans="1:7" s="78" customFormat="1" ht="60" x14ac:dyDescent="0.25">
      <c r="A58" s="1969"/>
      <c r="B58" s="1139"/>
      <c r="C58" s="144">
        <v>2830</v>
      </c>
      <c r="D58" s="1168" t="s">
        <v>1078</v>
      </c>
      <c r="E58" s="1169">
        <v>20000</v>
      </c>
      <c r="F58" s="91">
        <v>20000</v>
      </c>
      <c r="G58" s="1170">
        <f t="shared" si="17"/>
        <v>1</v>
      </c>
    </row>
    <row r="59" spans="1:7" ht="24" x14ac:dyDescent="0.2">
      <c r="A59" s="1123">
        <v>754</v>
      </c>
      <c r="B59" s="81"/>
      <c r="C59" s="81"/>
      <c r="D59" s="83" t="s">
        <v>94</v>
      </c>
      <c r="E59" s="145">
        <f>E60+E62</f>
        <v>87000</v>
      </c>
      <c r="F59" s="145">
        <f t="shared" ref="F59" si="30">F60+F62</f>
        <v>86234.13</v>
      </c>
      <c r="G59" s="1171">
        <f t="shared" si="17"/>
        <v>0.99119689655172416</v>
      </c>
    </row>
    <row r="60" spans="1:7" ht="12" x14ac:dyDescent="0.2">
      <c r="A60" s="1970"/>
      <c r="B60" s="85">
        <v>75412</v>
      </c>
      <c r="C60" s="85"/>
      <c r="D60" s="86" t="s">
        <v>97</v>
      </c>
      <c r="E60" s="1236">
        <f>E61</f>
        <v>30000</v>
      </c>
      <c r="F60" s="1236">
        <f t="shared" ref="F60" si="31">F61</f>
        <v>30000</v>
      </c>
      <c r="G60" s="1237">
        <f t="shared" si="17"/>
        <v>1</v>
      </c>
    </row>
    <row r="61" spans="1:7" ht="36" x14ac:dyDescent="0.2">
      <c r="A61" s="1971"/>
      <c r="B61" s="1233"/>
      <c r="C61" s="1234">
        <v>2820</v>
      </c>
      <c r="D61" s="1235" t="s">
        <v>527</v>
      </c>
      <c r="E61" s="1175">
        <v>30000</v>
      </c>
      <c r="F61" s="1131">
        <v>30000</v>
      </c>
      <c r="G61" s="1176">
        <f t="shared" si="17"/>
        <v>1</v>
      </c>
    </row>
    <row r="62" spans="1:7" ht="12" x14ac:dyDescent="0.2">
      <c r="A62" s="1971"/>
      <c r="B62" s="85">
        <v>75415</v>
      </c>
      <c r="C62" s="135"/>
      <c r="D62" s="146" t="s">
        <v>545</v>
      </c>
      <c r="E62" s="147">
        <f>E63</f>
        <v>57000</v>
      </c>
      <c r="F62" s="147">
        <f t="shared" ref="F62" si="32">F63</f>
        <v>56234.13</v>
      </c>
      <c r="G62" s="1048">
        <f t="shared" si="17"/>
        <v>0.98656368421052631</v>
      </c>
    </row>
    <row r="63" spans="1:7" ht="72" x14ac:dyDescent="0.2">
      <c r="A63" s="1971"/>
      <c r="B63" s="1172"/>
      <c r="C63" s="1173">
        <v>2360</v>
      </c>
      <c r="D63" s="1168" t="s">
        <v>1079</v>
      </c>
      <c r="E63" s="1177">
        <v>57000</v>
      </c>
      <c r="F63" s="1131">
        <v>56234.13</v>
      </c>
      <c r="G63" s="1178">
        <f t="shared" si="17"/>
        <v>0.98656368421052631</v>
      </c>
    </row>
    <row r="64" spans="1:7" ht="12.75" x14ac:dyDescent="0.2">
      <c r="A64" s="1179">
        <v>801</v>
      </c>
      <c r="B64" s="81"/>
      <c r="C64" s="130"/>
      <c r="D64" s="133" t="s">
        <v>185</v>
      </c>
      <c r="E64" s="84">
        <f>E67+E65</f>
        <v>231771.83</v>
      </c>
      <c r="F64" s="84">
        <f>F67+F65</f>
        <v>143751.07999999999</v>
      </c>
      <c r="G64" s="1047">
        <f t="shared" si="17"/>
        <v>0.62022671176216715</v>
      </c>
    </row>
    <row r="65" spans="1:7" s="150" customFormat="1" ht="12.75" customHeight="1" x14ac:dyDescent="0.2">
      <c r="A65" s="1972"/>
      <c r="B65" s="94">
        <v>80110</v>
      </c>
      <c r="C65" s="148"/>
      <c r="D65" s="149" t="s">
        <v>1080</v>
      </c>
      <c r="E65" s="147">
        <f>E66</f>
        <v>15271.83</v>
      </c>
      <c r="F65" s="147">
        <f t="shared" ref="F65" si="33">F66</f>
        <v>15251.08</v>
      </c>
      <c r="G65" s="1048">
        <f t="shared" si="17"/>
        <v>0.99864128922336093</v>
      </c>
    </row>
    <row r="66" spans="1:7" s="150" customFormat="1" ht="36.75" customHeight="1" x14ac:dyDescent="0.2">
      <c r="A66" s="1973"/>
      <c r="B66" s="151"/>
      <c r="C66" s="99">
        <v>2820</v>
      </c>
      <c r="D66" s="1174" t="s">
        <v>527</v>
      </c>
      <c r="E66" s="152">
        <v>15271.83</v>
      </c>
      <c r="F66" s="152">
        <v>15251.08</v>
      </c>
      <c r="G66" s="1180">
        <f t="shared" si="17"/>
        <v>0.99864128922336093</v>
      </c>
    </row>
    <row r="67" spans="1:7" ht="12" customHeight="1" x14ac:dyDescent="0.2">
      <c r="A67" s="1973"/>
      <c r="B67" s="85">
        <v>80195</v>
      </c>
      <c r="C67" s="135"/>
      <c r="D67" s="146" t="s">
        <v>14</v>
      </c>
      <c r="E67" s="147">
        <f>E68+E69+E70</f>
        <v>216500</v>
      </c>
      <c r="F67" s="147">
        <f t="shared" ref="F67" si="34">F68+F69+F70</f>
        <v>128500</v>
      </c>
      <c r="G67" s="1048">
        <f t="shared" si="17"/>
        <v>0.59353348729792144</v>
      </c>
    </row>
    <row r="68" spans="1:7" ht="72" x14ac:dyDescent="0.2">
      <c r="A68" s="1973"/>
      <c r="B68" s="1975"/>
      <c r="C68" s="153">
        <v>2360</v>
      </c>
      <c r="D68" s="141" t="s">
        <v>1079</v>
      </c>
      <c r="E68" s="154">
        <v>26500</v>
      </c>
      <c r="F68" s="108">
        <v>26500</v>
      </c>
      <c r="G68" s="1181">
        <f t="shared" si="17"/>
        <v>1</v>
      </c>
    </row>
    <row r="69" spans="1:7" ht="88.5" customHeight="1" x14ac:dyDescent="0.2">
      <c r="A69" s="1973"/>
      <c r="B69" s="1976"/>
      <c r="C69" s="153">
        <v>2007</v>
      </c>
      <c r="D69" s="155" t="s">
        <v>1081</v>
      </c>
      <c r="E69" s="156">
        <v>170161.2</v>
      </c>
      <c r="F69" s="91">
        <v>102000</v>
      </c>
      <c r="G69" s="1182">
        <f t="shared" si="17"/>
        <v>0.59943159780255428</v>
      </c>
    </row>
    <row r="70" spans="1:7" ht="96" x14ac:dyDescent="0.2">
      <c r="A70" s="1974"/>
      <c r="B70" s="1977"/>
      <c r="C70" s="153">
        <v>2009</v>
      </c>
      <c r="D70" s="155" t="s">
        <v>1081</v>
      </c>
      <c r="E70" s="156">
        <v>19838.8</v>
      </c>
      <c r="F70" s="91">
        <v>0</v>
      </c>
      <c r="G70" s="1182">
        <v>0</v>
      </c>
    </row>
    <row r="71" spans="1:7" s="78" customFormat="1" ht="12" x14ac:dyDescent="0.25">
      <c r="A71" s="1093">
        <v>851</v>
      </c>
      <c r="B71" s="157"/>
      <c r="C71" s="158"/>
      <c r="D71" s="159" t="s">
        <v>715</v>
      </c>
      <c r="E71" s="142">
        <f>E72+E74</f>
        <v>58000</v>
      </c>
      <c r="F71" s="142">
        <f t="shared" ref="F71" si="35">F72+F74</f>
        <v>53335</v>
      </c>
      <c r="G71" s="1163">
        <f t="shared" ref="G71:G87" si="36">F71/E71</f>
        <v>0.91956896551724143</v>
      </c>
    </row>
    <row r="72" spans="1:7" s="78" customFormat="1" ht="12" x14ac:dyDescent="0.25">
      <c r="A72" s="1183"/>
      <c r="B72" s="1099">
        <v>85154</v>
      </c>
      <c r="C72" s="1100"/>
      <c r="D72" s="1101" t="s">
        <v>724</v>
      </c>
      <c r="E72" s="1102">
        <f>E73</f>
        <v>48000</v>
      </c>
      <c r="F72" s="1102">
        <f t="shared" ref="F72" si="37">F73</f>
        <v>43335</v>
      </c>
      <c r="G72" s="1103">
        <f t="shared" si="36"/>
        <v>0.90281250000000002</v>
      </c>
    </row>
    <row r="73" spans="1:7" s="78" customFormat="1" ht="72" x14ac:dyDescent="0.25">
      <c r="A73" s="1184"/>
      <c r="B73" s="1139"/>
      <c r="C73" s="144">
        <v>2360</v>
      </c>
      <c r="D73" s="1168" t="s">
        <v>1079</v>
      </c>
      <c r="E73" s="1185">
        <v>48000</v>
      </c>
      <c r="F73" s="1186">
        <v>43335</v>
      </c>
      <c r="G73" s="1187">
        <f t="shared" si="36"/>
        <v>0.90281250000000002</v>
      </c>
    </row>
    <row r="74" spans="1:7" s="78" customFormat="1" ht="12" x14ac:dyDescent="0.25">
      <c r="A74" s="1188"/>
      <c r="B74" s="135">
        <v>85195</v>
      </c>
      <c r="C74" s="136"/>
      <c r="D74" s="146" t="s">
        <v>14</v>
      </c>
      <c r="E74" s="138">
        <f>E75</f>
        <v>10000</v>
      </c>
      <c r="F74" s="138">
        <f t="shared" ref="F74" si="38">F75</f>
        <v>10000</v>
      </c>
      <c r="G74" s="1160">
        <f t="shared" si="36"/>
        <v>1</v>
      </c>
    </row>
    <row r="75" spans="1:7" s="78" customFormat="1" ht="72" x14ac:dyDescent="0.25">
      <c r="A75" s="1188"/>
      <c r="B75" s="1189"/>
      <c r="C75" s="144">
        <v>2360</v>
      </c>
      <c r="D75" s="1168" t="s">
        <v>1079</v>
      </c>
      <c r="E75" s="1190">
        <v>10000</v>
      </c>
      <c r="F75" s="1131">
        <v>10000</v>
      </c>
      <c r="G75" s="1191">
        <f t="shared" si="36"/>
        <v>1</v>
      </c>
    </row>
    <row r="76" spans="1:7" s="78" customFormat="1" ht="24" x14ac:dyDescent="0.25">
      <c r="A76" s="1158">
        <v>853</v>
      </c>
      <c r="B76" s="160"/>
      <c r="C76" s="161"/>
      <c r="D76" s="133" t="s">
        <v>272</v>
      </c>
      <c r="E76" s="162">
        <f>E77</f>
        <v>4000</v>
      </c>
      <c r="F76" s="162">
        <f t="shared" ref="F76:F77" si="39">F77</f>
        <v>2990.93</v>
      </c>
      <c r="G76" s="1192">
        <f t="shared" si="36"/>
        <v>0.74773249999999991</v>
      </c>
    </row>
    <row r="77" spans="1:7" s="78" customFormat="1" ht="12" x14ac:dyDescent="0.25">
      <c r="A77" s="1948"/>
      <c r="B77" s="135">
        <v>85395</v>
      </c>
      <c r="C77" s="136"/>
      <c r="D77" s="146" t="s">
        <v>14</v>
      </c>
      <c r="E77" s="138">
        <f>E78</f>
        <v>4000</v>
      </c>
      <c r="F77" s="138">
        <f t="shared" si="39"/>
        <v>2990.93</v>
      </c>
      <c r="G77" s="1160">
        <f t="shared" si="36"/>
        <v>0.74773249999999991</v>
      </c>
    </row>
    <row r="78" spans="1:7" s="78" customFormat="1" ht="72" x14ac:dyDescent="0.25">
      <c r="A78" s="1949"/>
      <c r="B78" s="139"/>
      <c r="C78" s="1134">
        <v>2360</v>
      </c>
      <c r="D78" s="1125" t="s">
        <v>1079</v>
      </c>
      <c r="E78" s="107">
        <v>4000</v>
      </c>
      <c r="F78" s="1828">
        <v>2990.93</v>
      </c>
      <c r="G78" s="1140">
        <f t="shared" si="36"/>
        <v>0.74773249999999991</v>
      </c>
    </row>
    <row r="79" spans="1:7" s="78" customFormat="1" ht="24" x14ac:dyDescent="0.25">
      <c r="A79" s="163">
        <v>921</v>
      </c>
      <c r="B79" s="163"/>
      <c r="C79" s="164"/>
      <c r="D79" s="165" t="s">
        <v>318</v>
      </c>
      <c r="E79" s="162">
        <f>E82+E80</f>
        <v>213500</v>
      </c>
      <c r="F79" s="162">
        <f t="shared" ref="F79" si="40">F82+F80</f>
        <v>213180</v>
      </c>
      <c r="G79" s="1192">
        <f t="shared" si="36"/>
        <v>0.99850117096018731</v>
      </c>
    </row>
    <row r="80" spans="1:7" s="78" customFormat="1" ht="12" x14ac:dyDescent="0.25">
      <c r="A80" s="1193"/>
      <c r="B80" s="166">
        <v>92105</v>
      </c>
      <c r="C80" s="167"/>
      <c r="D80" s="168" t="s">
        <v>885</v>
      </c>
      <c r="E80" s="138">
        <f>E81</f>
        <v>13500</v>
      </c>
      <c r="F80" s="138">
        <f t="shared" ref="F80" si="41">F81</f>
        <v>13180</v>
      </c>
      <c r="G80" s="1160">
        <f t="shared" si="36"/>
        <v>0.97629629629629633</v>
      </c>
    </row>
    <row r="81" spans="1:7" s="78" customFormat="1" ht="72" x14ac:dyDescent="0.25">
      <c r="A81" s="1194"/>
      <c r="B81" s="169"/>
      <c r="C81" s="1105">
        <v>2360</v>
      </c>
      <c r="D81" s="1106" t="s">
        <v>1079</v>
      </c>
      <c r="E81" s="170">
        <v>13500</v>
      </c>
      <c r="F81" s="1131">
        <v>13180</v>
      </c>
      <c r="G81" s="1195">
        <f t="shared" si="36"/>
        <v>0.97629629629629633</v>
      </c>
    </row>
    <row r="82" spans="1:7" s="78" customFormat="1" ht="12" x14ac:dyDescent="0.25">
      <c r="A82" s="1194"/>
      <c r="B82" s="171">
        <v>92120</v>
      </c>
      <c r="C82" s="172"/>
      <c r="D82" s="173" t="s">
        <v>908</v>
      </c>
      <c r="E82" s="138">
        <f>E83</f>
        <v>200000</v>
      </c>
      <c r="F82" s="138">
        <f t="shared" ref="F82" si="42">F83</f>
        <v>200000</v>
      </c>
      <c r="G82" s="1160">
        <f t="shared" si="36"/>
        <v>1</v>
      </c>
    </row>
    <row r="83" spans="1:7" s="78" customFormat="1" ht="60" x14ac:dyDescent="0.25">
      <c r="A83" s="1196"/>
      <c r="B83" s="1139"/>
      <c r="C83" s="174">
        <v>2720</v>
      </c>
      <c r="D83" s="1197" t="s">
        <v>911</v>
      </c>
      <c r="E83" s="1198">
        <v>200000</v>
      </c>
      <c r="F83" s="1131">
        <v>200000</v>
      </c>
      <c r="G83" s="1199">
        <f t="shared" si="36"/>
        <v>1</v>
      </c>
    </row>
    <row r="84" spans="1:7" s="78" customFormat="1" ht="12" x14ac:dyDescent="0.25">
      <c r="A84" s="1093">
        <v>926</v>
      </c>
      <c r="B84" s="1200"/>
      <c r="C84" s="1201"/>
      <c r="D84" s="1202" t="s">
        <v>1082</v>
      </c>
      <c r="E84" s="1203">
        <f>E85</f>
        <v>213500</v>
      </c>
      <c r="F84" s="1203">
        <f t="shared" ref="F84:F85" si="43">F85</f>
        <v>213494.39</v>
      </c>
      <c r="G84" s="1204">
        <f t="shared" si="36"/>
        <v>0.99997372365339587</v>
      </c>
    </row>
    <row r="85" spans="1:7" s="78" customFormat="1" ht="12" x14ac:dyDescent="0.25">
      <c r="A85" s="1139"/>
      <c r="B85" s="175">
        <v>92695</v>
      </c>
      <c r="C85" s="176"/>
      <c r="D85" s="177" t="s">
        <v>14</v>
      </c>
      <c r="E85" s="178">
        <f>E86</f>
        <v>213500</v>
      </c>
      <c r="F85" s="178">
        <f t="shared" si="43"/>
        <v>213494.39</v>
      </c>
      <c r="G85" s="1205">
        <f t="shared" si="36"/>
        <v>0.99997372365339587</v>
      </c>
    </row>
    <row r="86" spans="1:7" s="78" customFormat="1" ht="72.75" thickBot="1" x14ac:dyDescent="0.3">
      <c r="A86" s="179"/>
      <c r="B86" s="179"/>
      <c r="C86" s="1105">
        <v>2360</v>
      </c>
      <c r="D86" s="1106" t="s">
        <v>1079</v>
      </c>
      <c r="E86" s="1107">
        <v>213500</v>
      </c>
      <c r="F86" s="1108">
        <v>213494.39</v>
      </c>
      <c r="G86" s="1109">
        <f t="shared" si="36"/>
        <v>0.99997372365339587</v>
      </c>
    </row>
    <row r="87" spans="1:7" ht="18" customHeight="1" thickBot="1" x14ac:dyDescent="0.25">
      <c r="A87" s="1965" t="s">
        <v>1083</v>
      </c>
      <c r="B87" s="1966"/>
      <c r="C87" s="1966"/>
      <c r="D87" s="1966"/>
      <c r="E87" s="180">
        <f>E44+E5</f>
        <v>7129190.9000000004</v>
      </c>
      <c r="F87" s="180">
        <f>F44+F5</f>
        <v>6805518.5499999998</v>
      </c>
      <c r="G87" s="1049">
        <f t="shared" si="36"/>
        <v>0.9545990064594847</v>
      </c>
    </row>
    <row r="88" spans="1:7" ht="36" customHeight="1" x14ac:dyDescent="0.2">
      <c r="A88" s="1964" t="s">
        <v>1084</v>
      </c>
      <c r="B88" s="1964"/>
      <c r="C88" s="1964"/>
      <c r="D88" s="1964"/>
      <c r="E88" s="1964"/>
      <c r="F88" s="1964"/>
      <c r="G88" s="1964"/>
    </row>
    <row r="89" spans="1:7" ht="39.75" customHeight="1" x14ac:dyDescent="0.2">
      <c r="A89" s="1085" t="s">
        <v>0</v>
      </c>
      <c r="B89" s="1085" t="s">
        <v>1</v>
      </c>
      <c r="C89" s="1086" t="s">
        <v>1056</v>
      </c>
      <c r="D89" s="1087" t="s">
        <v>3</v>
      </c>
      <c r="E89" s="1088" t="s">
        <v>1085</v>
      </c>
      <c r="F89" s="1087" t="s">
        <v>1362</v>
      </c>
      <c r="G89" s="1090" t="s">
        <v>1357</v>
      </c>
    </row>
    <row r="90" spans="1:7" s="76" customFormat="1" ht="25.5" customHeight="1" thickBot="1" x14ac:dyDescent="0.3">
      <c r="A90" s="1091" t="s">
        <v>1057</v>
      </c>
      <c r="B90" s="1957" t="s">
        <v>1058</v>
      </c>
      <c r="C90" s="1957"/>
      <c r="D90" s="1957"/>
      <c r="E90" s="181">
        <f>E91</f>
        <v>137000</v>
      </c>
      <c r="F90" s="181">
        <f t="shared" ref="F90" si="44">F91</f>
        <v>104752</v>
      </c>
      <c r="G90" s="1050">
        <f t="shared" ref="G90:G100" si="45">F90/E90</f>
        <v>0.76461313868613134</v>
      </c>
    </row>
    <row r="91" spans="1:7" ht="21" customHeight="1" x14ac:dyDescent="0.2">
      <c r="A91" s="1206" t="s">
        <v>1074</v>
      </c>
      <c r="B91" s="1951" t="s">
        <v>1062</v>
      </c>
      <c r="C91" s="1951"/>
      <c r="D91" s="1951"/>
      <c r="E91" s="182">
        <f>E98+E95+E102+E92</f>
        <v>137000</v>
      </c>
      <c r="F91" s="182">
        <f t="shared" ref="F91" si="46">F98+F95+F102+F92</f>
        <v>104752</v>
      </c>
      <c r="G91" s="1051">
        <f t="shared" si="45"/>
        <v>0.76461313868613134</v>
      </c>
    </row>
    <row r="92" spans="1:7" ht="12.75" x14ac:dyDescent="0.2">
      <c r="A92" s="1207">
        <v>600</v>
      </c>
      <c r="B92" s="183"/>
      <c r="C92" s="183"/>
      <c r="D92" s="184" t="s">
        <v>1063</v>
      </c>
      <c r="E92" s="185">
        <f>E93</f>
        <v>72000</v>
      </c>
      <c r="F92" s="185">
        <f t="shared" ref="F92:F93" si="47">F93</f>
        <v>45000</v>
      </c>
      <c r="G92" s="1208">
        <f t="shared" si="45"/>
        <v>0.625</v>
      </c>
    </row>
    <row r="93" spans="1:7" ht="12.75" x14ac:dyDescent="0.2">
      <c r="A93" s="1958"/>
      <c r="B93" s="186">
        <v>60014</v>
      </c>
      <c r="C93" s="187"/>
      <c r="D93" s="188" t="s">
        <v>377</v>
      </c>
      <c r="E93" s="189">
        <f>E94</f>
        <v>72000</v>
      </c>
      <c r="F93" s="189">
        <f t="shared" si="47"/>
        <v>45000</v>
      </c>
      <c r="G93" s="1209">
        <f t="shared" si="45"/>
        <v>0.625</v>
      </c>
    </row>
    <row r="94" spans="1:7" ht="60" x14ac:dyDescent="0.2">
      <c r="A94" s="1959"/>
      <c r="B94" s="190"/>
      <c r="C94" s="191">
        <v>6300</v>
      </c>
      <c r="D94" s="192" t="s">
        <v>1086</v>
      </c>
      <c r="E94" s="193">
        <v>72000</v>
      </c>
      <c r="F94" s="194">
        <v>45000</v>
      </c>
      <c r="G94" s="1210">
        <f t="shared" si="45"/>
        <v>0.625</v>
      </c>
    </row>
    <row r="95" spans="1:7" ht="12.75" x14ac:dyDescent="0.2">
      <c r="A95" s="1123">
        <v>851</v>
      </c>
      <c r="B95" s="82"/>
      <c r="C95" s="82"/>
      <c r="D95" s="83" t="s">
        <v>715</v>
      </c>
      <c r="E95" s="195">
        <f>E96</f>
        <v>25000</v>
      </c>
      <c r="F95" s="195">
        <f t="shared" ref="F95:F96" si="48">F96</f>
        <v>25000</v>
      </c>
      <c r="G95" s="1211">
        <f t="shared" si="45"/>
        <v>1</v>
      </c>
    </row>
    <row r="96" spans="1:7" ht="12.75" x14ac:dyDescent="0.2">
      <c r="A96" s="1958"/>
      <c r="B96" s="186">
        <v>85111</v>
      </c>
      <c r="C96" s="187"/>
      <c r="D96" s="196" t="s">
        <v>717</v>
      </c>
      <c r="E96" s="189">
        <f>E97</f>
        <v>25000</v>
      </c>
      <c r="F96" s="189">
        <f t="shared" si="48"/>
        <v>25000</v>
      </c>
      <c r="G96" s="1209">
        <f t="shared" si="45"/>
        <v>1</v>
      </c>
    </row>
    <row r="97" spans="1:7" ht="48" x14ac:dyDescent="0.2">
      <c r="A97" s="1959"/>
      <c r="B97" s="190"/>
      <c r="C97" s="191">
        <v>6220</v>
      </c>
      <c r="D97" s="192" t="s">
        <v>1087</v>
      </c>
      <c r="E97" s="193">
        <v>25000</v>
      </c>
      <c r="F97" s="194">
        <v>25000</v>
      </c>
      <c r="G97" s="1210">
        <f t="shared" si="45"/>
        <v>1</v>
      </c>
    </row>
    <row r="98" spans="1:7" ht="24" x14ac:dyDescent="0.2">
      <c r="A98" s="1207">
        <v>853</v>
      </c>
      <c r="B98" s="183"/>
      <c r="C98" s="183"/>
      <c r="D98" s="184" t="s">
        <v>272</v>
      </c>
      <c r="E98" s="185">
        <f>E99</f>
        <v>40000</v>
      </c>
      <c r="F98" s="185">
        <f t="shared" ref="F98:F99" si="49">F99</f>
        <v>34752</v>
      </c>
      <c r="G98" s="1208">
        <f t="shared" si="45"/>
        <v>0.86880000000000002</v>
      </c>
    </row>
    <row r="99" spans="1:7" ht="12.75" x14ac:dyDescent="0.2">
      <c r="A99" s="1958"/>
      <c r="B99" s="186">
        <v>85311</v>
      </c>
      <c r="C99" s="187"/>
      <c r="D99" s="196" t="s">
        <v>771</v>
      </c>
      <c r="E99" s="189">
        <f>E100</f>
        <v>40000</v>
      </c>
      <c r="F99" s="189">
        <f t="shared" si="49"/>
        <v>34752</v>
      </c>
      <c r="G99" s="1209">
        <f t="shared" si="45"/>
        <v>0.86880000000000002</v>
      </c>
    </row>
    <row r="100" spans="1:7" ht="60.75" thickBot="1" x14ac:dyDescent="0.25">
      <c r="A100" s="1960"/>
      <c r="B100" s="190"/>
      <c r="C100" s="191">
        <v>6300</v>
      </c>
      <c r="D100" s="192" t="s">
        <v>1086</v>
      </c>
      <c r="E100" s="193">
        <v>40000</v>
      </c>
      <c r="F100" s="194">
        <v>34752</v>
      </c>
      <c r="G100" s="1210">
        <f t="shared" si="45"/>
        <v>0.86880000000000002</v>
      </c>
    </row>
    <row r="101" spans="1:7" ht="60" hidden="1" x14ac:dyDescent="0.2">
      <c r="A101" s="1961"/>
      <c r="B101" s="197"/>
      <c r="C101" s="153">
        <v>6239</v>
      </c>
      <c r="D101" s="155" t="s">
        <v>1088</v>
      </c>
      <c r="E101" s="198">
        <v>0</v>
      </c>
      <c r="F101" s="1025">
        <v>0</v>
      </c>
      <c r="G101" s="1212"/>
    </row>
    <row r="102" spans="1:7" s="78" customFormat="1" ht="24" hidden="1" x14ac:dyDescent="0.25">
      <c r="A102" s="1141">
        <v>900</v>
      </c>
      <c r="B102" s="1142"/>
      <c r="C102" s="109"/>
      <c r="D102" s="1143" t="s">
        <v>309</v>
      </c>
      <c r="E102" s="1213">
        <f>E103</f>
        <v>0</v>
      </c>
      <c r="F102" s="1213">
        <f t="shared" ref="F102:F103" si="50">F103</f>
        <v>0</v>
      </c>
      <c r="G102" s="1214">
        <v>0</v>
      </c>
    </row>
    <row r="103" spans="1:7" s="78" customFormat="1" ht="12" hidden="1" x14ac:dyDescent="0.25">
      <c r="A103" s="1962"/>
      <c r="B103" s="1215">
        <v>90013</v>
      </c>
      <c r="C103" s="199"/>
      <c r="D103" s="1110" t="s">
        <v>868</v>
      </c>
      <c r="E103" s="1216">
        <f>E104</f>
        <v>0</v>
      </c>
      <c r="F103" s="1216">
        <f t="shared" si="50"/>
        <v>0</v>
      </c>
      <c r="G103" s="1217">
        <v>0</v>
      </c>
    </row>
    <row r="104" spans="1:7" s="78" customFormat="1" ht="48.75" hidden="1" thickBot="1" x14ac:dyDescent="0.3">
      <c r="A104" s="1963"/>
      <c r="B104" s="1189"/>
      <c r="C104" s="1218">
        <v>6300</v>
      </c>
      <c r="D104" s="1219" t="s">
        <v>1064</v>
      </c>
      <c r="E104" s="1220">
        <v>0</v>
      </c>
      <c r="F104" s="1221">
        <v>0</v>
      </c>
      <c r="G104" s="1222">
        <v>0</v>
      </c>
    </row>
    <row r="105" spans="1:7" s="76" customFormat="1" ht="32.25" customHeight="1" thickBot="1" x14ac:dyDescent="0.3">
      <c r="A105" s="1223" t="s">
        <v>1072</v>
      </c>
      <c r="B105" s="1950" t="s">
        <v>1073</v>
      </c>
      <c r="C105" s="1950"/>
      <c r="D105" s="1950"/>
      <c r="E105" s="180">
        <f t="shared" ref="E105:F108" si="51">E106</f>
        <v>248900</v>
      </c>
      <c r="F105" s="180">
        <f t="shared" si="51"/>
        <v>218028.63</v>
      </c>
      <c r="G105" s="1049">
        <f t="shared" ref="G105:G115" si="52">F105/E105</f>
        <v>0.87596878264363198</v>
      </c>
    </row>
    <row r="106" spans="1:7" s="76" customFormat="1" ht="32.25" customHeight="1" x14ac:dyDescent="0.25">
      <c r="A106" s="1238" t="s">
        <v>1074</v>
      </c>
      <c r="B106" s="1951" t="s">
        <v>1062</v>
      </c>
      <c r="C106" s="1951"/>
      <c r="D106" s="1951"/>
      <c r="E106" s="201">
        <f>E107+E110</f>
        <v>248900</v>
      </c>
      <c r="F106" s="201">
        <f t="shared" ref="F106" si="53">F107+F110</f>
        <v>218028.63</v>
      </c>
      <c r="G106" s="1052">
        <f t="shared" si="52"/>
        <v>0.87596878264363198</v>
      </c>
    </row>
    <row r="107" spans="1:7" s="76" customFormat="1" ht="32.25" customHeight="1" x14ac:dyDescent="0.25">
      <c r="A107" s="1224">
        <v>754</v>
      </c>
      <c r="B107" s="202"/>
      <c r="C107" s="202"/>
      <c r="D107" s="202" t="s">
        <v>94</v>
      </c>
      <c r="E107" s="203">
        <f>E108</f>
        <v>122900</v>
      </c>
      <c r="F107" s="203">
        <f t="shared" si="51"/>
        <v>122900</v>
      </c>
      <c r="G107" s="1225">
        <f t="shared" si="52"/>
        <v>1</v>
      </c>
    </row>
    <row r="108" spans="1:7" s="76" customFormat="1" ht="32.25" customHeight="1" x14ac:dyDescent="0.25">
      <c r="A108" s="1226"/>
      <c r="B108" s="204">
        <v>75412</v>
      </c>
      <c r="C108" s="204"/>
      <c r="D108" s="204" t="s">
        <v>1089</v>
      </c>
      <c r="E108" s="205">
        <f>E109</f>
        <v>122900</v>
      </c>
      <c r="F108" s="205">
        <f t="shared" si="51"/>
        <v>122900</v>
      </c>
      <c r="G108" s="1227">
        <f t="shared" si="52"/>
        <v>1</v>
      </c>
    </row>
    <row r="109" spans="1:7" s="76" customFormat="1" ht="60" x14ac:dyDescent="0.25">
      <c r="A109" s="1228"/>
      <c r="B109" s="206"/>
      <c r="C109" s="207">
        <v>6230</v>
      </c>
      <c r="D109" s="192" t="s">
        <v>1090</v>
      </c>
      <c r="E109" s="208">
        <v>122900</v>
      </c>
      <c r="F109" s="208">
        <v>122900</v>
      </c>
      <c r="G109" s="1229">
        <f t="shared" si="52"/>
        <v>1</v>
      </c>
    </row>
    <row r="110" spans="1:7" s="76" customFormat="1" ht="24" x14ac:dyDescent="0.25">
      <c r="A110" s="1230">
        <v>900</v>
      </c>
      <c r="B110" s="209"/>
      <c r="C110" s="210"/>
      <c r="D110" s="130" t="s">
        <v>1091</v>
      </c>
      <c r="E110" s="211">
        <f>E111+E113</f>
        <v>126000</v>
      </c>
      <c r="F110" s="211">
        <f t="shared" ref="F110" si="54">F111+F113</f>
        <v>95128.63</v>
      </c>
      <c r="G110" s="1231">
        <f t="shared" si="52"/>
        <v>0.75498912698412701</v>
      </c>
    </row>
    <row r="111" spans="1:7" s="76" customFormat="1" ht="12.75" x14ac:dyDescent="0.25">
      <c r="A111" s="1952"/>
      <c r="B111" s="204">
        <v>90001</v>
      </c>
      <c r="C111" s="204"/>
      <c r="D111" s="148" t="s">
        <v>1092</v>
      </c>
      <c r="E111" s="205">
        <f>E112</f>
        <v>78810</v>
      </c>
      <c r="F111" s="205">
        <f t="shared" ref="F111" si="55">F112</f>
        <v>63468.959999999999</v>
      </c>
      <c r="G111" s="1227">
        <f t="shared" si="52"/>
        <v>0.80534145413018654</v>
      </c>
    </row>
    <row r="112" spans="1:7" s="76" customFormat="1" ht="60" x14ac:dyDescent="0.25">
      <c r="A112" s="1953"/>
      <c r="B112" s="206"/>
      <c r="C112" s="207">
        <v>6230</v>
      </c>
      <c r="D112" s="192" t="s">
        <v>1090</v>
      </c>
      <c r="E112" s="208">
        <v>78810</v>
      </c>
      <c r="F112" s="208">
        <v>63468.959999999999</v>
      </c>
      <c r="G112" s="1229">
        <f t="shared" si="52"/>
        <v>0.80534145413018654</v>
      </c>
    </row>
    <row r="113" spans="1:7" s="76" customFormat="1" ht="24" x14ac:dyDescent="0.25">
      <c r="A113" s="1953"/>
      <c r="B113" s="204">
        <v>90005</v>
      </c>
      <c r="C113" s="204"/>
      <c r="D113" s="148" t="s">
        <v>865</v>
      </c>
      <c r="E113" s="205">
        <f>E114</f>
        <v>47190</v>
      </c>
      <c r="F113" s="205">
        <f t="shared" ref="F113" si="56">F114</f>
        <v>31659.67</v>
      </c>
      <c r="G113" s="1227">
        <f t="shared" si="52"/>
        <v>0.67089785971604154</v>
      </c>
    </row>
    <row r="114" spans="1:7" s="76" customFormat="1" ht="60" x14ac:dyDescent="0.25">
      <c r="A114" s="1954"/>
      <c r="B114" s="207"/>
      <c r="C114" s="207">
        <v>6230</v>
      </c>
      <c r="D114" s="192" t="s">
        <v>1090</v>
      </c>
      <c r="E114" s="208">
        <v>47190</v>
      </c>
      <c r="F114" s="208">
        <v>31659.67</v>
      </c>
      <c r="G114" s="1229">
        <f t="shared" si="52"/>
        <v>0.67089785971604154</v>
      </c>
    </row>
    <row r="115" spans="1:7" ht="19.5" customHeight="1" x14ac:dyDescent="0.2">
      <c r="A115" s="1955" t="s">
        <v>1083</v>
      </c>
      <c r="B115" s="1956"/>
      <c r="C115" s="1956"/>
      <c r="D115" s="1956"/>
      <c r="E115" s="212">
        <f>E90+E105</f>
        <v>385900</v>
      </c>
      <c r="F115" s="212">
        <f t="shared" ref="F115" si="57">F90+F105</f>
        <v>322780.63</v>
      </c>
      <c r="G115" s="1232">
        <f t="shared" si="52"/>
        <v>0.83643594195387405</v>
      </c>
    </row>
    <row r="116" spans="1:7" ht="15" customHeight="1" x14ac:dyDescent="0.2">
      <c r="A116" s="1978" t="s">
        <v>1134</v>
      </c>
      <c r="B116" s="1979"/>
      <c r="C116" s="1979"/>
      <c r="D116" s="1980"/>
      <c r="E116" s="1711">
        <f>E115+E87</f>
        <v>7515090.9000000004</v>
      </c>
      <c r="F116" s="1711">
        <f>F115+F87</f>
        <v>7128299.1799999997</v>
      </c>
      <c r="G116" s="1712">
        <f>F116/E116</f>
        <v>0.9485313318033185</v>
      </c>
    </row>
  </sheetData>
  <mergeCells count="34">
    <mergeCell ref="A116:D116"/>
    <mergeCell ref="E1:G1"/>
    <mergeCell ref="A2:G2"/>
    <mergeCell ref="A3:G3"/>
    <mergeCell ref="B5:D5"/>
    <mergeCell ref="B6:D6"/>
    <mergeCell ref="A8:A13"/>
    <mergeCell ref="B14:D14"/>
    <mergeCell ref="A16:A17"/>
    <mergeCell ref="A19:A26"/>
    <mergeCell ref="A47:A54"/>
    <mergeCell ref="B37:D37"/>
    <mergeCell ref="A39:A40"/>
    <mergeCell ref="B44:D44"/>
    <mergeCell ref="B45:D45"/>
    <mergeCell ref="A31:A36"/>
    <mergeCell ref="B55:D55"/>
    <mergeCell ref="A57:A58"/>
    <mergeCell ref="A60:A63"/>
    <mergeCell ref="A65:A70"/>
    <mergeCell ref="B68:B70"/>
    <mergeCell ref="A77:A78"/>
    <mergeCell ref="B105:D105"/>
    <mergeCell ref="B106:D106"/>
    <mergeCell ref="A111:A114"/>
    <mergeCell ref="A115:D115"/>
    <mergeCell ref="B90:D90"/>
    <mergeCell ref="B91:D91"/>
    <mergeCell ref="A93:A94"/>
    <mergeCell ref="A96:A97"/>
    <mergeCell ref="A99:A101"/>
    <mergeCell ref="A103:A104"/>
    <mergeCell ref="A88:G88"/>
    <mergeCell ref="A87:D87"/>
  </mergeCells>
  <pageMargins left="1.1023622047244095" right="0" top="0.74803149606299213" bottom="0.35433070866141736" header="0.31496062992125984" footer="0.11811023622047245"/>
  <pageSetup paperSize="9" scale="98" orientation="portrait" r:id="rId1"/>
  <headerFooter>
    <oddFooter>Strona &amp;P z &amp;N</oddFooter>
  </headerFooter>
  <rowBreaks count="1" manualBreakCount="1">
    <brk id="60" max="6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topLeftCell="A16" workbookViewId="0">
      <selection activeCell="C29" sqref="C29"/>
    </sheetView>
  </sheetViews>
  <sheetFormatPr defaultRowHeight="12.75" x14ac:dyDescent="0.2"/>
  <cols>
    <col min="1" max="1" width="4.140625" style="661" customWidth="1"/>
    <col min="2" max="2" width="63.85546875" style="661" customWidth="1"/>
    <col min="3" max="4" width="13.42578125" style="661" customWidth="1"/>
    <col min="5" max="5" width="7.85546875" style="661" customWidth="1"/>
    <col min="6" max="6" width="13.28515625" style="661" customWidth="1"/>
    <col min="7" max="7" width="13.5703125" style="661" customWidth="1"/>
    <col min="8" max="8" width="8" style="661" customWidth="1"/>
    <col min="9" max="16384" width="9.140625" style="661"/>
  </cols>
  <sheetData>
    <row r="1" spans="1:8" x14ac:dyDescent="0.2">
      <c r="F1" s="1802" t="s">
        <v>1537</v>
      </c>
      <c r="G1" s="1802"/>
      <c r="H1" s="1802"/>
    </row>
    <row r="2" spans="1:8" ht="28.5" customHeight="1" x14ac:dyDescent="0.2">
      <c r="A2" s="2005" t="s">
        <v>1536</v>
      </c>
      <c r="B2" s="2005"/>
      <c r="C2" s="2005"/>
      <c r="D2" s="2005"/>
      <c r="E2" s="2005"/>
      <c r="F2" s="2005"/>
      <c r="G2" s="2005"/>
      <c r="H2" s="2005"/>
    </row>
    <row r="3" spans="1:8" s="662" customFormat="1" ht="13.5" customHeight="1" x14ac:dyDescent="0.25">
      <c r="A3" s="2006" t="s">
        <v>933</v>
      </c>
      <c r="B3" s="2007" t="s">
        <v>1348</v>
      </c>
      <c r="C3" s="2008" t="s">
        <v>1349</v>
      </c>
      <c r="D3" s="2009"/>
      <c r="E3" s="2010"/>
      <c r="F3" s="2008" t="s">
        <v>1350</v>
      </c>
      <c r="G3" s="2009"/>
      <c r="H3" s="2010"/>
    </row>
    <row r="4" spans="1:8" s="662" customFormat="1" ht="13.5" customHeight="1" x14ac:dyDescent="0.25">
      <c r="A4" s="2006"/>
      <c r="B4" s="2007"/>
      <c r="C4" s="2001" t="s">
        <v>1094</v>
      </c>
      <c r="D4" s="2001" t="s">
        <v>1362</v>
      </c>
      <c r="E4" s="2003" t="s">
        <v>1357</v>
      </c>
      <c r="F4" s="2001" t="s">
        <v>1094</v>
      </c>
      <c r="G4" s="2001" t="s">
        <v>1362</v>
      </c>
      <c r="H4" s="2003" t="s">
        <v>1357</v>
      </c>
    </row>
    <row r="5" spans="1:8" s="662" customFormat="1" x14ac:dyDescent="0.25">
      <c r="A5" s="2006"/>
      <c r="B5" s="2007"/>
      <c r="C5" s="2002"/>
      <c r="D5" s="2002"/>
      <c r="E5" s="2004"/>
      <c r="F5" s="2002"/>
      <c r="G5" s="2002"/>
      <c r="H5" s="2004"/>
    </row>
    <row r="6" spans="1:8" s="662" customFormat="1" x14ac:dyDescent="0.25">
      <c r="A6" s="663">
        <v>1</v>
      </c>
      <c r="B6" s="663">
        <v>2</v>
      </c>
      <c r="C6" s="664">
        <v>3</v>
      </c>
      <c r="D6" s="1777">
        <v>4</v>
      </c>
      <c r="E6" s="1777">
        <v>5</v>
      </c>
      <c r="F6" s="664">
        <v>6</v>
      </c>
      <c r="G6" s="1777">
        <v>7</v>
      </c>
      <c r="H6" s="1777">
        <v>8</v>
      </c>
    </row>
    <row r="7" spans="1:8" s="662" customFormat="1" ht="27" customHeight="1" x14ac:dyDescent="0.25">
      <c r="A7" s="1820" t="s">
        <v>1074</v>
      </c>
      <c r="B7" s="1819" t="s">
        <v>1351</v>
      </c>
      <c r="C7" s="665">
        <v>2069851.6</v>
      </c>
      <c r="D7" s="665">
        <v>1973310.79</v>
      </c>
      <c r="E7" s="1803">
        <f>D7/C7</f>
        <v>0.9533585837747981</v>
      </c>
      <c r="F7" s="1785">
        <f>F9+F12</f>
        <v>2074851.8</v>
      </c>
      <c r="G7" s="1785">
        <f>G9+G12</f>
        <v>1992565.58</v>
      </c>
      <c r="H7" s="1803">
        <f>G7/F7</f>
        <v>0.9603411578600457</v>
      </c>
    </row>
    <row r="8" spans="1:8" s="662" customFormat="1" ht="12" customHeight="1" x14ac:dyDescent="0.25">
      <c r="A8" s="666"/>
      <c r="B8" s="673" t="s">
        <v>1252</v>
      </c>
      <c r="C8" s="665"/>
      <c r="D8" s="665"/>
      <c r="E8" s="1803"/>
      <c r="F8" s="1785"/>
      <c r="G8" s="665"/>
      <c r="H8" s="1803"/>
    </row>
    <row r="9" spans="1:8" s="662" customFormat="1" ht="12" customHeight="1" x14ac:dyDescent="0.25">
      <c r="A9" s="1778"/>
      <c r="B9" s="1780" t="s">
        <v>1533</v>
      </c>
      <c r="C9" s="665"/>
      <c r="D9" s="665"/>
      <c r="E9" s="1803"/>
      <c r="F9" s="1786">
        <v>2061851.8</v>
      </c>
      <c r="G9" s="1783">
        <v>1980450.08</v>
      </c>
      <c r="H9" s="1803">
        <f>G9/F9</f>
        <v>0.96052009169621211</v>
      </c>
    </row>
    <row r="10" spans="1:8" s="662" customFormat="1" ht="12" customHeight="1" x14ac:dyDescent="0.25">
      <c r="A10" s="1778"/>
      <c r="B10" s="1779" t="s">
        <v>1494</v>
      </c>
      <c r="C10" s="665"/>
      <c r="D10" s="665"/>
      <c r="E10" s="1803"/>
      <c r="F10" s="1785"/>
      <c r="G10" s="665"/>
      <c r="H10" s="1803"/>
    </row>
    <row r="11" spans="1:8" s="662" customFormat="1" ht="12" customHeight="1" x14ac:dyDescent="0.25">
      <c r="A11" s="1778"/>
      <c r="B11" s="1781" t="s">
        <v>1534</v>
      </c>
      <c r="C11" s="1782"/>
      <c r="D11" s="1782"/>
      <c r="E11" s="1804"/>
      <c r="F11" s="1787">
        <v>377200</v>
      </c>
      <c r="G11" s="1782">
        <v>349797.13</v>
      </c>
      <c r="H11" s="1804">
        <f>G11/F11</f>
        <v>0.92735188229056209</v>
      </c>
    </row>
    <row r="12" spans="1:8" s="662" customFormat="1" ht="12" customHeight="1" x14ac:dyDescent="0.25">
      <c r="A12" s="1778"/>
      <c r="B12" s="1780" t="s">
        <v>1535</v>
      </c>
      <c r="C12" s="665"/>
      <c r="D12" s="665"/>
      <c r="E12" s="1803"/>
      <c r="F12" s="1786">
        <v>13000</v>
      </c>
      <c r="G12" s="1783">
        <v>12115.5</v>
      </c>
      <c r="H12" s="1803">
        <f>G12/F12</f>
        <v>0.93196153846153851</v>
      </c>
    </row>
    <row r="13" spans="1:8" s="662" customFormat="1" ht="24" customHeight="1" x14ac:dyDescent="0.25">
      <c r="A13" s="666"/>
      <c r="B13" s="667" t="s">
        <v>1352</v>
      </c>
      <c r="C13" s="668">
        <f>C14+C15+C16</f>
        <v>407851.6</v>
      </c>
      <c r="D13" s="668">
        <f>D14+D15+D16</f>
        <v>403636.80000000005</v>
      </c>
      <c r="E13" s="1805">
        <f>D13/C13</f>
        <v>0.989665849049017</v>
      </c>
      <c r="F13" s="1785"/>
      <c r="G13" s="665"/>
      <c r="H13" s="1803"/>
    </row>
    <row r="14" spans="1:8" s="662" customFormat="1" x14ac:dyDescent="0.25">
      <c r="A14" s="666"/>
      <c r="B14" s="1814" t="s">
        <v>1538</v>
      </c>
      <c r="C14" s="1784">
        <v>11585.93</v>
      </c>
      <c r="D14" s="1784">
        <v>11585.93</v>
      </c>
      <c r="E14" s="1813">
        <f>D14/C14</f>
        <v>1</v>
      </c>
      <c r="F14" s="1788"/>
      <c r="G14" s="672"/>
      <c r="H14" s="1807"/>
    </row>
    <row r="15" spans="1:8" s="662" customFormat="1" x14ac:dyDescent="0.25">
      <c r="A15" s="666"/>
      <c r="B15" s="1815" t="s">
        <v>1539</v>
      </c>
      <c r="C15" s="1784">
        <v>80883.17</v>
      </c>
      <c r="D15" s="1784">
        <v>80883.17</v>
      </c>
      <c r="E15" s="1813">
        <f t="shared" ref="E15:E16" si="0">D15/C15</f>
        <v>1</v>
      </c>
      <c r="F15" s="1788"/>
      <c r="G15" s="672"/>
      <c r="H15" s="1807"/>
    </row>
    <row r="16" spans="1:8" s="662" customFormat="1" ht="24" x14ac:dyDescent="0.25">
      <c r="A16" s="666"/>
      <c r="B16" s="1816" t="s">
        <v>1540</v>
      </c>
      <c r="C16" s="1784">
        <v>315382.5</v>
      </c>
      <c r="D16" s="1784">
        <v>311167.7</v>
      </c>
      <c r="E16" s="1813">
        <f t="shared" si="0"/>
        <v>0.9866359103628134</v>
      </c>
      <c r="F16" s="1788"/>
      <c r="G16" s="672"/>
      <c r="H16" s="1807"/>
    </row>
    <row r="17" spans="1:8" s="662" customFormat="1" ht="19.5" customHeight="1" x14ac:dyDescent="0.25">
      <c r="A17" s="669"/>
      <c r="B17" s="670" t="s">
        <v>1353</v>
      </c>
      <c r="C17" s="1789">
        <f>C7</f>
        <v>2069851.6</v>
      </c>
      <c r="D17" s="1789">
        <f>D7</f>
        <v>1973310.79</v>
      </c>
      <c r="E17" s="1806">
        <f>D17/C17</f>
        <v>0.9533585837747981</v>
      </c>
      <c r="F17" s="1789">
        <f t="shared" ref="F17:G17" si="1">F7</f>
        <v>2074851.8</v>
      </c>
      <c r="G17" s="1789">
        <f t="shared" si="1"/>
        <v>1992565.58</v>
      </c>
      <c r="H17" s="1806">
        <f>G17/F17</f>
        <v>0.9603411578600457</v>
      </c>
    </row>
    <row r="18" spans="1:8" s="662" customFormat="1" ht="39" customHeight="1" x14ac:dyDescent="0.25">
      <c r="A18" s="1821" t="s">
        <v>1061</v>
      </c>
      <c r="B18" s="1819" t="s">
        <v>1354</v>
      </c>
      <c r="C18" s="665">
        <f>888500+300000</f>
        <v>1188500</v>
      </c>
      <c r="D18" s="665">
        <v>1215766.6000000001</v>
      </c>
      <c r="E18" s="1803">
        <f>D18/C18</f>
        <v>1.0229420277660919</v>
      </c>
      <c r="F18" s="665">
        <f>918500+300000</f>
        <v>1218500</v>
      </c>
      <c r="G18" s="665">
        <f>G20+G23</f>
        <v>1148601.25</v>
      </c>
      <c r="H18" s="1803">
        <f>G18/F18</f>
        <v>0.94263541239228554</v>
      </c>
    </row>
    <row r="19" spans="1:8" s="662" customFormat="1" ht="18.75" customHeight="1" x14ac:dyDescent="0.25">
      <c r="A19" s="671"/>
      <c r="B19" s="673" t="s">
        <v>1252</v>
      </c>
      <c r="C19" s="672"/>
      <c r="D19" s="672"/>
      <c r="E19" s="1807"/>
      <c r="F19" s="1785"/>
      <c r="G19" s="665"/>
      <c r="H19" s="1803"/>
    </row>
    <row r="20" spans="1:8" s="662" customFormat="1" ht="12" customHeight="1" x14ac:dyDescent="0.25">
      <c r="A20" s="1778"/>
      <c r="B20" s="1780" t="s">
        <v>1533</v>
      </c>
      <c r="C20" s="665"/>
      <c r="D20" s="665"/>
      <c r="E20" s="1803"/>
      <c r="F20" s="1786">
        <v>1218500</v>
      </c>
      <c r="G20" s="1792">
        <v>1148601.25</v>
      </c>
      <c r="H20" s="1818">
        <f>G20/F20</f>
        <v>0.94263541239228554</v>
      </c>
    </row>
    <row r="21" spans="1:8" s="662" customFormat="1" ht="12" customHeight="1" x14ac:dyDescent="0.25">
      <c r="A21" s="1778"/>
      <c r="B21" s="1781" t="s">
        <v>1494</v>
      </c>
      <c r="C21" s="665"/>
      <c r="D21" s="665"/>
      <c r="E21" s="1803"/>
      <c r="F21" s="1787"/>
      <c r="G21" s="1784"/>
      <c r="H21" s="1803"/>
    </row>
    <row r="22" spans="1:8" s="662" customFormat="1" ht="12" customHeight="1" x14ac:dyDescent="0.25">
      <c r="A22" s="1778"/>
      <c r="B22" s="1781" t="s">
        <v>1534</v>
      </c>
      <c r="C22" s="1782"/>
      <c r="D22" s="1782"/>
      <c r="E22" s="1804"/>
      <c r="F22" s="1787">
        <v>404961</v>
      </c>
      <c r="G22" s="1784">
        <v>356975.41</v>
      </c>
      <c r="H22" s="1807">
        <f>G22/F22</f>
        <v>0.88150565116146984</v>
      </c>
    </row>
    <row r="23" spans="1:8" s="662" customFormat="1" ht="12" customHeight="1" x14ac:dyDescent="0.25">
      <c r="A23" s="1778"/>
      <c r="B23" s="1780" t="s">
        <v>1535</v>
      </c>
      <c r="C23" s="665"/>
      <c r="D23" s="665"/>
      <c r="E23" s="1803"/>
      <c r="F23" s="1793">
        <v>0</v>
      </c>
      <c r="G23" s="1799">
        <v>0</v>
      </c>
      <c r="H23" s="1803">
        <v>0</v>
      </c>
    </row>
    <row r="24" spans="1:8" s="662" customFormat="1" ht="22.5" customHeight="1" x14ac:dyDescent="0.25">
      <c r="A24" s="671"/>
      <c r="B24" s="667" t="s">
        <v>1352</v>
      </c>
      <c r="C24" s="674">
        <v>150000</v>
      </c>
      <c r="D24" s="672">
        <f>D25</f>
        <v>150000</v>
      </c>
      <c r="E24" s="1817">
        <f>D24/C24</f>
        <v>1</v>
      </c>
      <c r="F24" s="1794"/>
      <c r="G24" s="1795"/>
      <c r="H24" s="1811"/>
    </row>
    <row r="25" spans="1:8" s="662" customFormat="1" ht="18" customHeight="1" x14ac:dyDescent="0.25">
      <c r="A25" s="671"/>
      <c r="B25" s="675" t="s">
        <v>1355</v>
      </c>
      <c r="C25" s="676">
        <v>150000</v>
      </c>
      <c r="D25" s="676">
        <v>150000</v>
      </c>
      <c r="E25" s="1808">
        <f>D25/C25</f>
        <v>1</v>
      </c>
      <c r="F25" s="1796"/>
      <c r="G25" s="1797"/>
      <c r="H25" s="1812"/>
    </row>
    <row r="26" spans="1:8" s="662" customFormat="1" ht="22.5" customHeight="1" x14ac:dyDescent="0.25">
      <c r="A26" s="677"/>
      <c r="B26" s="678" t="s">
        <v>1356</v>
      </c>
      <c r="C26" s="1790">
        <f>C18</f>
        <v>1188500</v>
      </c>
      <c r="D26" s="1790">
        <f>D18</f>
        <v>1215766.6000000001</v>
      </c>
      <c r="E26" s="1809">
        <f>D26/C26</f>
        <v>1.0229420277660919</v>
      </c>
      <c r="F26" s="1790">
        <f>F18</f>
        <v>1218500</v>
      </c>
      <c r="G26" s="1790">
        <f>G18</f>
        <v>1148601.25</v>
      </c>
      <c r="H26" s="1809">
        <f>G26/F26</f>
        <v>0.94263541239228554</v>
      </c>
    </row>
    <row r="27" spans="1:8" s="662" customFormat="1" ht="24.75" customHeight="1" x14ac:dyDescent="0.25">
      <c r="A27" s="679"/>
      <c r="B27" s="680" t="s">
        <v>1134</v>
      </c>
      <c r="C27" s="1791">
        <f>C17+C26</f>
        <v>3258351.6</v>
      </c>
      <c r="D27" s="1791">
        <f>D17+D26</f>
        <v>3189077.39</v>
      </c>
      <c r="E27" s="1810">
        <f>D27/C27</f>
        <v>0.97873949207936928</v>
      </c>
      <c r="F27" s="1791">
        <f t="shared" ref="F27:G27" si="2">F17+F26</f>
        <v>3293351.8</v>
      </c>
      <c r="G27" s="1791">
        <f t="shared" si="2"/>
        <v>3141166.83</v>
      </c>
      <c r="H27" s="1810">
        <f>G27/F27</f>
        <v>0.95379024797775935</v>
      </c>
    </row>
    <row r="28" spans="1:8" x14ac:dyDescent="0.2">
      <c r="C28" s="681"/>
      <c r="D28" s="681"/>
      <c r="E28" s="681"/>
    </row>
    <row r="29" spans="1:8" x14ac:dyDescent="0.2">
      <c r="C29" s="682"/>
      <c r="D29" s="682"/>
      <c r="E29" s="682"/>
      <c r="F29" s="1800"/>
      <c r="G29" s="1800"/>
      <c r="H29" s="682"/>
    </row>
    <row r="30" spans="1:8" x14ac:dyDescent="0.2">
      <c r="F30" s="682"/>
      <c r="G30" s="682"/>
    </row>
    <row r="31" spans="1:8" x14ac:dyDescent="0.2">
      <c r="F31" s="1801"/>
      <c r="G31" s="1801"/>
    </row>
    <row r="32" spans="1:8" x14ac:dyDescent="0.2">
      <c r="F32" s="1800"/>
      <c r="G32" s="1798"/>
    </row>
  </sheetData>
  <mergeCells count="11">
    <mergeCell ref="F4:F5"/>
    <mergeCell ref="G4:G5"/>
    <mergeCell ref="H4:H5"/>
    <mergeCell ref="A2:H2"/>
    <mergeCell ref="A3:A5"/>
    <mergeCell ref="B3:B5"/>
    <mergeCell ref="C3:E3"/>
    <mergeCell ref="C4:C5"/>
    <mergeCell ref="D4:D5"/>
    <mergeCell ref="E4:E5"/>
    <mergeCell ref="F3:H3"/>
  </mergeCells>
  <pageMargins left="0.70866141732283472" right="0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15</vt:i4>
      </vt:variant>
      <vt:variant>
        <vt:lpstr>Zakresy nazwane</vt:lpstr>
      </vt:variant>
      <vt:variant>
        <vt:i4>11</vt:i4>
      </vt:variant>
    </vt:vector>
  </HeadingPairs>
  <TitlesOfParts>
    <vt:vector size="26" baseType="lpstr">
      <vt:lpstr>Zał. nr 1</vt:lpstr>
      <vt:lpstr>Zał. nr 2</vt:lpstr>
      <vt:lpstr>Zał. nr 3 </vt:lpstr>
      <vt:lpstr>Zal. nr 4</vt:lpstr>
      <vt:lpstr>Zał. nr 5</vt:lpstr>
      <vt:lpstr>Zał.Nr 6.</vt:lpstr>
      <vt:lpstr>Zał. nr 7</vt:lpstr>
      <vt:lpstr>Zał. nr 8</vt:lpstr>
      <vt:lpstr>Zal. nr 9.</vt:lpstr>
      <vt:lpstr>Zał.nr 10</vt:lpstr>
      <vt:lpstr>Zał. nr 11</vt:lpstr>
      <vt:lpstr>Zał. nr 12 przedsięzwięcia</vt:lpstr>
      <vt:lpstr>Tabela nr 1.</vt:lpstr>
      <vt:lpstr>Zał. nr 13</vt:lpstr>
      <vt:lpstr>Zał. nr 14 Odpady komunlane</vt:lpstr>
      <vt:lpstr>'Tabela nr 1.'!Tytuły_wydruku</vt:lpstr>
      <vt:lpstr>'Zal. nr 4'!Tytuły_wydruku</vt:lpstr>
      <vt:lpstr>'Zał. nr 1'!Tytuły_wydruku</vt:lpstr>
      <vt:lpstr>'Zał. nr 12 przedsięzwięcia'!Tytuły_wydruku</vt:lpstr>
      <vt:lpstr>'Zał. nr 13'!Tytuły_wydruku</vt:lpstr>
      <vt:lpstr>'Zał. nr 14 Odpady komunlane'!Tytuły_wydruku</vt:lpstr>
      <vt:lpstr>'Zał. nr 2'!Tytuły_wydruku</vt:lpstr>
      <vt:lpstr>'Zał. nr 5'!Tytuły_wydruku</vt:lpstr>
      <vt:lpstr>'Zał. nr 7'!Tytuły_wydruku</vt:lpstr>
      <vt:lpstr>'Zał. nr 8'!Tytuły_wydruku</vt:lpstr>
      <vt:lpstr>'Zał.nr 10'!Tytuły_wydruku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mkachlicka</dc:creator>
  <cp:lastModifiedBy>mkachlicka</cp:lastModifiedBy>
  <cp:lastPrinted>2018-03-23T19:25:39Z</cp:lastPrinted>
  <dcterms:created xsi:type="dcterms:W3CDTF">2018-01-16T09:17:33Z</dcterms:created>
  <dcterms:modified xsi:type="dcterms:W3CDTF">2018-03-23T19:29:17Z</dcterms:modified>
</cp:coreProperties>
</file>